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filterPrivacy="1" codeName="ThisWorkbook"/>
  <xr:revisionPtr revIDLastSave="0" documentId="8_{5CDF93AB-D0DD-44BB-B8B0-501FD5042DD7}" xr6:coauthVersionLast="47" xr6:coauthVersionMax="47" xr10:uidLastSave="{00000000-0000-0000-0000-000000000000}"/>
  <workbookProtection workbookAlgorithmName="SHA-512" workbookHashValue="oY05WhONtpJXKibAi7a0T7S3hJkSI6itmP6D0PTAOyNPZJOrQXgMD4Ydp7WAeXISYyNpqTAz+kT5qBhFd4Rf+g==" workbookSaltValue="J41c/fBq5aB+Tnkq7Z9GPw==" workbookSpinCount="100000" lockStructure="1"/>
  <bookViews>
    <workbookView xWindow="-120" yWindow="-120" windowWidth="29040" windowHeight="15720" firstSheet="1" activeTab="1" xr2:uid="{00000000-000D-0000-FFFF-FFFF00000000}"/>
  </bookViews>
  <sheets>
    <sheet name="Cover Page" sheetId="4" r:id="rId1"/>
    <sheet name="Summary" sheetId="1" r:id="rId2"/>
    <sheet name="Input - Medicine Cost Proposed" sheetId="2" r:id="rId3"/>
    <sheet name="Input - Medicine Cost Comp." sheetId="10" r:id="rId4"/>
    <sheet name="Input - Patient numbers" sheetId="3" r:id="rId5"/>
    <sheet name="Input - Service Resource Other" sheetId="8" r:id="rId6"/>
    <sheet name="Guide" sheetId="5" r:id="rId7"/>
    <sheet name="Reference - Populatio Est." sheetId="7" r:id="rId8"/>
    <sheet name="Engine (Calcs and lists)" sheetId="6" state="hidden" r:id="rId9"/>
  </sheets>
  <definedNames>
    <definedName name="annual_mortality">'Input - Patient numbers'!$C$23</definedName>
    <definedName name="incidence">'Input - Patient numbers'!$C$18</definedName>
    <definedName name="prevalence">'Input - Patient numbers'!$C$17</definedName>
    <definedName name="user_defined_population">'Input - Patient numbers'!#REF!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D25" i="1"/>
  <c r="E25" i="1"/>
  <c r="E24" i="1"/>
  <c r="E27" i="1" s="1"/>
  <c r="D24" i="1"/>
  <c r="D27" i="1" s="1"/>
  <c r="C24" i="1"/>
  <c r="C27" i="1" s="1"/>
  <c r="I216" i="10"/>
  <c r="I215" i="10"/>
  <c r="I214" i="10"/>
  <c r="I213" i="10"/>
  <c r="I212" i="10"/>
  <c r="I211" i="10"/>
  <c r="I210" i="10"/>
  <c r="I203" i="10"/>
  <c r="I202" i="10"/>
  <c r="I201" i="10"/>
  <c r="I200" i="10"/>
  <c r="I199" i="10"/>
  <c r="I198" i="10"/>
  <c r="I197" i="10"/>
  <c r="I190" i="10"/>
  <c r="I189" i="10"/>
  <c r="I188" i="10"/>
  <c r="I187" i="10"/>
  <c r="I186" i="10"/>
  <c r="I185" i="10"/>
  <c r="I184" i="10"/>
  <c r="I164" i="10"/>
  <c r="I163" i="10"/>
  <c r="I162" i="10"/>
  <c r="I161" i="10"/>
  <c r="I160" i="10"/>
  <c r="I159" i="10"/>
  <c r="I158" i="10"/>
  <c r="I151" i="10"/>
  <c r="I150" i="10"/>
  <c r="I149" i="10"/>
  <c r="I148" i="10"/>
  <c r="I147" i="10"/>
  <c r="I146" i="10"/>
  <c r="I145" i="10"/>
  <c r="I138" i="10"/>
  <c r="I137" i="10"/>
  <c r="I136" i="10"/>
  <c r="I135" i="10"/>
  <c r="I134" i="10"/>
  <c r="I133" i="10"/>
  <c r="I132" i="10"/>
  <c r="I112" i="10"/>
  <c r="I111" i="10"/>
  <c r="I110" i="10"/>
  <c r="I109" i="10"/>
  <c r="I108" i="10"/>
  <c r="I107" i="10"/>
  <c r="I106" i="10"/>
  <c r="I99" i="10"/>
  <c r="I98" i="10"/>
  <c r="I97" i="10"/>
  <c r="I96" i="10"/>
  <c r="I95" i="10"/>
  <c r="I94" i="10"/>
  <c r="I93" i="10"/>
  <c r="I86" i="10"/>
  <c r="I85" i="10"/>
  <c r="I84" i="10"/>
  <c r="I83" i="10"/>
  <c r="I82" i="10"/>
  <c r="I81" i="10"/>
  <c r="I80" i="10"/>
  <c r="I60" i="10"/>
  <c r="I59" i="10"/>
  <c r="I58" i="10"/>
  <c r="I57" i="10"/>
  <c r="I56" i="10"/>
  <c r="I55" i="10"/>
  <c r="I54" i="10"/>
  <c r="I47" i="10"/>
  <c r="I46" i="10"/>
  <c r="I45" i="10"/>
  <c r="I44" i="10"/>
  <c r="I43" i="10"/>
  <c r="I42" i="10"/>
  <c r="I41" i="10"/>
  <c r="I29" i="10"/>
  <c r="I30" i="10"/>
  <c r="I31" i="10"/>
  <c r="I32" i="10"/>
  <c r="I33" i="10"/>
  <c r="I34" i="10"/>
  <c r="I28" i="10"/>
  <c r="V12" i="8" l="1"/>
  <c r="B12" i="3" l="1"/>
  <c r="J211" i="10" l="1"/>
  <c r="J212" i="10"/>
  <c r="J213" i="10"/>
  <c r="J215" i="10"/>
  <c r="J216" i="10"/>
  <c r="J199" i="10"/>
  <c r="J200" i="10"/>
  <c r="J201" i="10"/>
  <c r="J202" i="10"/>
  <c r="J203" i="10"/>
  <c r="J197" i="10"/>
  <c r="J186" i="10"/>
  <c r="J187" i="10"/>
  <c r="J188" i="10"/>
  <c r="J189" i="10"/>
  <c r="J184" i="10"/>
  <c r="J159" i="10"/>
  <c r="J160" i="10"/>
  <c r="J161" i="10"/>
  <c r="J162" i="10"/>
  <c r="J163" i="10"/>
  <c r="J164" i="10"/>
  <c r="J158" i="10"/>
  <c r="J146" i="10"/>
  <c r="J148" i="10"/>
  <c r="J150" i="10"/>
  <c r="J133" i="10"/>
  <c r="J134" i="10"/>
  <c r="J135" i="10"/>
  <c r="J136" i="10"/>
  <c r="J137" i="10"/>
  <c r="J138" i="10"/>
  <c r="J132" i="10"/>
  <c r="J107" i="10"/>
  <c r="J108" i="10"/>
  <c r="J109" i="10"/>
  <c r="J111" i="10"/>
  <c r="J106" i="10"/>
  <c r="J94" i="10"/>
  <c r="J95" i="10"/>
  <c r="J96" i="10"/>
  <c r="J97" i="10"/>
  <c r="J98" i="10"/>
  <c r="J99" i="10"/>
  <c r="J93" i="10"/>
  <c r="J81" i="10"/>
  <c r="J82" i="10"/>
  <c r="J83" i="10"/>
  <c r="J84" i="10"/>
  <c r="J85" i="10"/>
  <c r="J86" i="10"/>
  <c r="J80" i="10"/>
  <c r="J55" i="10"/>
  <c r="J56" i="10"/>
  <c r="J57" i="10"/>
  <c r="J58" i="10"/>
  <c r="J59" i="10"/>
  <c r="J60" i="10"/>
  <c r="J54" i="10"/>
  <c r="J42" i="10"/>
  <c r="J43" i="10"/>
  <c r="J44" i="10"/>
  <c r="J46" i="10"/>
  <c r="J47" i="10"/>
  <c r="J41" i="10"/>
  <c r="J29" i="10"/>
  <c r="J31" i="10"/>
  <c r="J33" i="10"/>
  <c r="J28" i="10"/>
  <c r="I49" i="2"/>
  <c r="J49" i="2" s="1"/>
  <c r="I50" i="2"/>
  <c r="J50" i="2" s="1"/>
  <c r="I51" i="2"/>
  <c r="J51" i="2" s="1"/>
  <c r="I52" i="2"/>
  <c r="J52" i="2" s="1"/>
  <c r="I53" i="2"/>
  <c r="J53" i="2" s="1"/>
  <c r="I54" i="2"/>
  <c r="J54" i="2" s="1"/>
  <c r="I48" i="2"/>
  <c r="J48" i="2" s="1"/>
  <c r="I35" i="2"/>
  <c r="J35" i="2" s="1"/>
  <c r="I36" i="2"/>
  <c r="I37" i="2"/>
  <c r="J37" i="2" s="1"/>
  <c r="I38" i="2"/>
  <c r="J38" i="2" s="1"/>
  <c r="I39" i="2"/>
  <c r="J39" i="2" s="1"/>
  <c r="I40" i="2"/>
  <c r="I34" i="2"/>
  <c r="J34" i="2" s="1"/>
  <c r="I21" i="2"/>
  <c r="J21" i="2" s="1"/>
  <c r="I22" i="2"/>
  <c r="I23" i="2"/>
  <c r="J23" i="2" s="1"/>
  <c r="I24" i="2"/>
  <c r="I25" i="2"/>
  <c r="J25" i="2" s="1"/>
  <c r="I26" i="2"/>
  <c r="I20" i="2"/>
  <c r="J20" i="2" s="1"/>
  <c r="O216" i="10"/>
  <c r="H216" i="10"/>
  <c r="O215" i="10"/>
  <c r="H215" i="10"/>
  <c r="O214" i="10"/>
  <c r="H214" i="10"/>
  <c r="O213" i="10"/>
  <c r="H213" i="10"/>
  <c r="O212" i="10"/>
  <c r="H212" i="10"/>
  <c r="O211" i="10"/>
  <c r="H211" i="10"/>
  <c r="O210" i="10"/>
  <c r="H210" i="10"/>
  <c r="O203" i="10"/>
  <c r="H203" i="10"/>
  <c r="O202" i="10"/>
  <c r="H202" i="10"/>
  <c r="O201" i="10"/>
  <c r="H201" i="10"/>
  <c r="O200" i="10"/>
  <c r="H200" i="10"/>
  <c r="O199" i="10"/>
  <c r="H199" i="10"/>
  <c r="O198" i="10"/>
  <c r="H198" i="10"/>
  <c r="O197" i="10"/>
  <c r="H197" i="10"/>
  <c r="O190" i="10"/>
  <c r="H190" i="10"/>
  <c r="O189" i="10"/>
  <c r="H189" i="10"/>
  <c r="O188" i="10"/>
  <c r="H188" i="10"/>
  <c r="O187" i="10"/>
  <c r="H187" i="10"/>
  <c r="O186" i="10"/>
  <c r="H186" i="10"/>
  <c r="O185" i="10"/>
  <c r="H185" i="10"/>
  <c r="O184" i="10"/>
  <c r="H184" i="10"/>
  <c r="C9" i="1"/>
  <c r="A1" i="7"/>
  <c r="A1" i="5"/>
  <c r="A1" i="8"/>
  <c r="A1" i="3"/>
  <c r="A1" i="10"/>
  <c r="A1" i="2"/>
  <c r="A1" i="1"/>
  <c r="H159" i="10"/>
  <c r="H160" i="10"/>
  <c r="H161" i="10"/>
  <c r="H162" i="10"/>
  <c r="H163" i="10"/>
  <c r="H164" i="10"/>
  <c r="H158" i="10"/>
  <c r="H146" i="10"/>
  <c r="H147" i="10"/>
  <c r="H148" i="10"/>
  <c r="H149" i="10"/>
  <c r="H150" i="10"/>
  <c r="H151" i="10"/>
  <c r="H145" i="10"/>
  <c r="H133" i="10"/>
  <c r="H134" i="10"/>
  <c r="H135" i="10"/>
  <c r="H136" i="10"/>
  <c r="H137" i="10"/>
  <c r="H138" i="10"/>
  <c r="H132" i="10"/>
  <c r="H107" i="10"/>
  <c r="H108" i="10"/>
  <c r="H109" i="10"/>
  <c r="H110" i="10"/>
  <c r="H111" i="10"/>
  <c r="H112" i="10"/>
  <c r="H106" i="10"/>
  <c r="H94" i="10"/>
  <c r="H95" i="10"/>
  <c r="H96" i="10"/>
  <c r="H97" i="10"/>
  <c r="H98" i="10"/>
  <c r="H99" i="10"/>
  <c r="H93" i="10"/>
  <c r="H81" i="10"/>
  <c r="H82" i="10"/>
  <c r="H83" i="10"/>
  <c r="H84" i="10"/>
  <c r="H85" i="10"/>
  <c r="H86" i="10"/>
  <c r="H80" i="10"/>
  <c r="H55" i="10"/>
  <c r="H56" i="10"/>
  <c r="H57" i="10"/>
  <c r="H58" i="10"/>
  <c r="H59" i="10"/>
  <c r="H60" i="10"/>
  <c r="H54" i="10"/>
  <c r="H42" i="10"/>
  <c r="H43" i="10"/>
  <c r="H44" i="10"/>
  <c r="H45" i="10"/>
  <c r="H46" i="10"/>
  <c r="H47" i="10"/>
  <c r="H41" i="10"/>
  <c r="H29" i="10"/>
  <c r="H30" i="10"/>
  <c r="H31" i="10"/>
  <c r="H32" i="10"/>
  <c r="H33" i="10"/>
  <c r="H34" i="10"/>
  <c r="H28" i="10"/>
  <c r="H49" i="2"/>
  <c r="H50" i="2"/>
  <c r="H51" i="2"/>
  <c r="H52" i="2"/>
  <c r="H53" i="2"/>
  <c r="H54" i="2"/>
  <c r="H48" i="2"/>
  <c r="H35" i="2"/>
  <c r="H36" i="2"/>
  <c r="H37" i="2"/>
  <c r="H38" i="2"/>
  <c r="H39" i="2"/>
  <c r="H40" i="2"/>
  <c r="H34" i="2"/>
  <c r="H21" i="2"/>
  <c r="H22" i="2"/>
  <c r="H23" i="2"/>
  <c r="H24" i="2"/>
  <c r="H25" i="2"/>
  <c r="H26" i="2"/>
  <c r="H20" i="2"/>
  <c r="O164" i="10"/>
  <c r="O163" i="10"/>
  <c r="O162" i="10"/>
  <c r="O161" i="10"/>
  <c r="O160" i="10"/>
  <c r="O159" i="10"/>
  <c r="O158" i="10"/>
  <c r="O151" i="10"/>
  <c r="O150" i="10"/>
  <c r="O149" i="10"/>
  <c r="O148" i="10"/>
  <c r="O147" i="10"/>
  <c r="O146" i="10"/>
  <c r="O145" i="10"/>
  <c r="O138" i="10"/>
  <c r="O137" i="10"/>
  <c r="O136" i="10"/>
  <c r="O135" i="10"/>
  <c r="O134" i="10"/>
  <c r="O133" i="10"/>
  <c r="O132" i="10"/>
  <c r="O112" i="10"/>
  <c r="O111" i="10"/>
  <c r="O110" i="10"/>
  <c r="O109" i="10"/>
  <c r="O108" i="10"/>
  <c r="O107" i="10"/>
  <c r="O106" i="10"/>
  <c r="O99" i="10"/>
  <c r="O98" i="10"/>
  <c r="O97" i="10"/>
  <c r="O96" i="10"/>
  <c r="O95" i="10"/>
  <c r="O94" i="10"/>
  <c r="O93" i="10"/>
  <c r="O86" i="10"/>
  <c r="O85" i="10"/>
  <c r="O84" i="10"/>
  <c r="O83" i="10"/>
  <c r="O82" i="10"/>
  <c r="O81" i="10"/>
  <c r="O80" i="10"/>
  <c r="O60" i="10"/>
  <c r="O59" i="10"/>
  <c r="O58" i="10"/>
  <c r="O57" i="10"/>
  <c r="O56" i="10"/>
  <c r="O55" i="10"/>
  <c r="O54" i="10"/>
  <c r="O47" i="10"/>
  <c r="O46" i="10"/>
  <c r="O45" i="10"/>
  <c r="O44" i="10"/>
  <c r="O43" i="10"/>
  <c r="O42" i="10"/>
  <c r="O41" i="10"/>
  <c r="J45" i="10"/>
  <c r="O29" i="10"/>
  <c r="O30" i="10"/>
  <c r="O31" i="10"/>
  <c r="O32" i="10"/>
  <c r="O33" i="10"/>
  <c r="O34" i="10"/>
  <c r="O54" i="2"/>
  <c r="O53" i="2"/>
  <c r="O52" i="2"/>
  <c r="O51" i="2"/>
  <c r="O50" i="2"/>
  <c r="O49" i="2"/>
  <c r="O48" i="2"/>
  <c r="O40" i="2"/>
  <c r="O39" i="2"/>
  <c r="O38" i="2"/>
  <c r="O37" i="2"/>
  <c r="O36" i="2"/>
  <c r="O35" i="2"/>
  <c r="O34" i="2"/>
  <c r="O24" i="2"/>
  <c r="O25" i="2"/>
  <c r="O26" i="2"/>
  <c r="P200" i="10" l="1"/>
  <c r="P189" i="10"/>
  <c r="K215" i="10"/>
  <c r="Q215" i="10" s="1"/>
  <c r="K212" i="10"/>
  <c r="Q212" i="10" s="1"/>
  <c r="K199" i="10"/>
  <c r="Q199" i="10" s="1"/>
  <c r="P190" i="10"/>
  <c r="P210" i="10"/>
  <c r="K214" i="10"/>
  <c r="Q214" i="10" s="1"/>
  <c r="K185" i="10"/>
  <c r="Q185" i="10" s="1"/>
  <c r="K202" i="10"/>
  <c r="Q202" i="10" s="1"/>
  <c r="K201" i="10"/>
  <c r="Q201" i="10" s="1"/>
  <c r="J185" i="10"/>
  <c r="K216" i="10"/>
  <c r="Q216" i="10" s="1"/>
  <c r="K210" i="10"/>
  <c r="Q210" i="10" s="1"/>
  <c r="K186" i="10"/>
  <c r="Q186" i="10" s="1"/>
  <c r="P188" i="10"/>
  <c r="P213" i="10"/>
  <c r="P187" i="10"/>
  <c r="P203" i="10"/>
  <c r="K200" i="10"/>
  <c r="Q200" i="10" s="1"/>
  <c r="K184" i="10"/>
  <c r="Q184" i="10" s="1"/>
  <c r="P211" i="10"/>
  <c r="K198" i="10"/>
  <c r="Q198" i="10" s="1"/>
  <c r="K188" i="10"/>
  <c r="Q188" i="10" s="1"/>
  <c r="K190" i="10"/>
  <c r="Q190" i="10" s="1"/>
  <c r="P198" i="10"/>
  <c r="P184" i="10"/>
  <c r="P197" i="10"/>
  <c r="J210" i="10"/>
  <c r="P214" i="10"/>
  <c r="P212" i="10"/>
  <c r="P186" i="10"/>
  <c r="P202" i="10"/>
  <c r="P216" i="10"/>
  <c r="P185" i="10"/>
  <c r="J190" i="10"/>
  <c r="J198" i="10"/>
  <c r="P201" i="10"/>
  <c r="J214" i="10"/>
  <c r="K189" i="10"/>
  <c r="Q189" i="10" s="1"/>
  <c r="K197" i="10"/>
  <c r="Q197" i="10" s="1"/>
  <c r="P199" i="10"/>
  <c r="K213" i="10"/>
  <c r="Q213" i="10" s="1"/>
  <c r="P215" i="10"/>
  <c r="K187" i="10"/>
  <c r="Q187" i="10" s="1"/>
  <c r="K203" i="10"/>
  <c r="Q203" i="10" s="1"/>
  <c r="K211" i="10"/>
  <c r="Q211" i="10" s="1"/>
  <c r="K82" i="10"/>
  <c r="Q82" i="10" s="1"/>
  <c r="K83" i="10"/>
  <c r="Q83" i="10" s="1"/>
  <c r="K46" i="10"/>
  <c r="Q46" i="10" s="1"/>
  <c r="K107" i="10"/>
  <c r="Q107" i="10" s="1"/>
  <c r="K34" i="10"/>
  <c r="Q34" i="10" s="1"/>
  <c r="K84" i="10"/>
  <c r="Q84" i="10" s="1"/>
  <c r="K108" i="10"/>
  <c r="Q108" i="10" s="1"/>
  <c r="K111" i="10"/>
  <c r="Q111" i="10" s="1"/>
  <c r="K30" i="10"/>
  <c r="Q30" i="10" s="1"/>
  <c r="K161" i="10"/>
  <c r="Q161" i="10" s="1"/>
  <c r="K162" i="10"/>
  <c r="K81" i="10"/>
  <c r="Q81" i="10" s="1"/>
  <c r="K26" i="2"/>
  <c r="Q26" i="2" s="1"/>
  <c r="K24" i="2"/>
  <c r="Q24" i="2" s="1"/>
  <c r="J24" i="2"/>
  <c r="P24" i="2"/>
  <c r="P26" i="2"/>
  <c r="P25" i="2"/>
  <c r="K36" i="2"/>
  <c r="Q36" i="2" s="1"/>
  <c r="K40" i="2"/>
  <c r="Q40" i="2" s="1"/>
  <c r="P40" i="2"/>
  <c r="P49" i="2"/>
  <c r="P53" i="2"/>
  <c r="P54" i="2"/>
  <c r="K32" i="10"/>
  <c r="Q32" i="10" s="1"/>
  <c r="J32" i="10"/>
  <c r="P34" i="10"/>
  <c r="P33" i="10"/>
  <c r="P32" i="10"/>
  <c r="P31" i="10"/>
  <c r="P30" i="10"/>
  <c r="P55" i="10"/>
  <c r="P57" i="10"/>
  <c r="P58" i="10"/>
  <c r="P60" i="10"/>
  <c r="P80" i="10"/>
  <c r="P81" i="10"/>
  <c r="P83" i="10"/>
  <c r="P84" i="10"/>
  <c r="P86" i="10"/>
  <c r="P96" i="10"/>
  <c r="P97" i="10"/>
  <c r="P99" i="10"/>
  <c r="K110" i="10"/>
  <c r="Q110" i="10" s="1"/>
  <c r="K112" i="10"/>
  <c r="Q112" i="10" s="1"/>
  <c r="J112" i="10"/>
  <c r="P107" i="10"/>
  <c r="P109" i="10"/>
  <c r="P112" i="10"/>
  <c r="K147" i="10"/>
  <c r="Q147" i="10" s="1"/>
  <c r="K149" i="10"/>
  <c r="Q149" i="10" s="1"/>
  <c r="K151" i="10"/>
  <c r="Q151" i="10" s="1"/>
  <c r="P146" i="10"/>
  <c r="P147" i="10"/>
  <c r="P150" i="10"/>
  <c r="P159" i="10"/>
  <c r="P29" i="10"/>
  <c r="J30" i="10"/>
  <c r="K33" i="10"/>
  <c r="Q33" i="10" s="1"/>
  <c r="K55" i="10"/>
  <c r="Q55" i="10" s="1"/>
  <c r="K59" i="10"/>
  <c r="Q59" i="10" s="1"/>
  <c r="K85" i="10"/>
  <c r="Q85" i="10" s="1"/>
  <c r="K135" i="10"/>
  <c r="Q135" i="10" s="1"/>
  <c r="K31" i="10"/>
  <c r="Q31" i="10" s="1"/>
  <c r="K56" i="10"/>
  <c r="Q56" i="10" s="1"/>
  <c r="K60" i="10"/>
  <c r="Q60" i="10" s="1"/>
  <c r="K86" i="10"/>
  <c r="Q86" i="10" s="1"/>
  <c r="K98" i="10"/>
  <c r="Q98" i="10" s="1"/>
  <c r="K160" i="10"/>
  <c r="Q160" i="10" s="1"/>
  <c r="J34" i="10"/>
  <c r="K43" i="10"/>
  <c r="Q43" i="10" s="1"/>
  <c r="K47" i="10"/>
  <c r="Q47" i="10" s="1"/>
  <c r="K96" i="10"/>
  <c r="Q96" i="10" s="1"/>
  <c r="K99" i="10"/>
  <c r="Q99" i="10" s="1"/>
  <c r="K45" i="10"/>
  <c r="Q45" i="10" s="1"/>
  <c r="K95" i="10"/>
  <c r="Q95" i="10" s="1"/>
  <c r="K109" i="10"/>
  <c r="Q109" i="10" s="1"/>
  <c r="K146" i="10"/>
  <c r="Q146" i="10" s="1"/>
  <c r="K150" i="10"/>
  <c r="Q150" i="10" s="1"/>
  <c r="K163" i="10"/>
  <c r="Q163" i="10" s="1"/>
  <c r="K29" i="10"/>
  <c r="Q29" i="10" s="1"/>
  <c r="K57" i="10"/>
  <c r="Q57" i="10" s="1"/>
  <c r="K93" i="10"/>
  <c r="Q93" i="10" s="1"/>
  <c r="K133" i="10"/>
  <c r="Q133" i="10" s="1"/>
  <c r="K137" i="10"/>
  <c r="Q137" i="10" s="1"/>
  <c r="K164" i="10"/>
  <c r="Q164" i="10" s="1"/>
  <c r="K28" i="10"/>
  <c r="K44" i="10"/>
  <c r="Q44" i="10" s="1"/>
  <c r="K58" i="10"/>
  <c r="Q58" i="10" s="1"/>
  <c r="K80" i="10"/>
  <c r="Q80" i="10" s="1"/>
  <c r="K94" i="10"/>
  <c r="Q94" i="10" s="1"/>
  <c r="K97" i="10"/>
  <c r="Q97" i="10" s="1"/>
  <c r="J110" i="10"/>
  <c r="K148" i="10"/>
  <c r="Q148" i="10" s="1"/>
  <c r="K106" i="10"/>
  <c r="Q106" i="10" s="1"/>
  <c r="K22" i="2"/>
  <c r="K38" i="2"/>
  <c r="Q38" i="2" s="1"/>
  <c r="K23" i="2"/>
  <c r="K21" i="2"/>
  <c r="K34" i="2"/>
  <c r="Q34" i="2" s="1"/>
  <c r="P158" i="10"/>
  <c r="K145" i="10"/>
  <c r="Q145" i="10" s="1"/>
  <c r="P145" i="10"/>
  <c r="P132" i="10"/>
  <c r="P106" i="10"/>
  <c r="P95" i="10"/>
  <c r="P54" i="10"/>
  <c r="K54" i="10"/>
  <c r="Q54" i="10" s="1"/>
  <c r="P41" i="10"/>
  <c r="K41" i="10"/>
  <c r="Q41" i="10" s="1"/>
  <c r="J26" i="2"/>
  <c r="K20" i="2"/>
  <c r="J36" i="2"/>
  <c r="K39" i="2"/>
  <c r="Q39" i="2" s="1"/>
  <c r="K49" i="2"/>
  <c r="Q49" i="2" s="1"/>
  <c r="K53" i="2"/>
  <c r="Q53" i="2" s="1"/>
  <c r="K37" i="2"/>
  <c r="Q37" i="2" s="1"/>
  <c r="K50" i="2"/>
  <c r="Q50" i="2" s="1"/>
  <c r="K54" i="2"/>
  <c r="Q54" i="2" s="1"/>
  <c r="K25" i="2"/>
  <c r="Q25" i="2" s="1"/>
  <c r="K35" i="2"/>
  <c r="Q35" i="2" s="1"/>
  <c r="J40" i="2"/>
  <c r="K51" i="2"/>
  <c r="Q51" i="2" s="1"/>
  <c r="J22" i="2"/>
  <c r="K48" i="2"/>
  <c r="Q48" i="2" s="1"/>
  <c r="K52" i="2"/>
  <c r="Q52" i="2" s="1"/>
  <c r="P48" i="2"/>
  <c r="P37" i="2"/>
  <c r="P36" i="2"/>
  <c r="P160" i="10"/>
  <c r="Q162" i="10"/>
  <c r="K158" i="10"/>
  <c r="Q158" i="10" s="1"/>
  <c r="K159" i="10"/>
  <c r="Q159" i="10" s="1"/>
  <c r="P164" i="10"/>
  <c r="P161" i="10"/>
  <c r="P162" i="10"/>
  <c r="P163" i="10"/>
  <c r="P149" i="10"/>
  <c r="P148" i="10"/>
  <c r="P151" i="10"/>
  <c r="J145" i="10"/>
  <c r="J147" i="10"/>
  <c r="J149" i="10"/>
  <c r="J151" i="10"/>
  <c r="P133" i="10"/>
  <c r="P135" i="10"/>
  <c r="P136" i="10"/>
  <c r="P138" i="10"/>
  <c r="P134" i="10"/>
  <c r="P137" i="10"/>
  <c r="K134" i="10"/>
  <c r="Q134" i="10" s="1"/>
  <c r="K138" i="10"/>
  <c r="Q138" i="10" s="1"/>
  <c r="K136" i="10"/>
  <c r="Q136" i="10" s="1"/>
  <c r="K132" i="10"/>
  <c r="Q132" i="10" s="1"/>
  <c r="P108" i="10"/>
  <c r="P111" i="10"/>
  <c r="P110" i="10"/>
  <c r="P98" i="10"/>
  <c r="P93" i="10"/>
  <c r="P94" i="10"/>
  <c r="P82" i="10"/>
  <c r="P85" i="10"/>
  <c r="P56" i="10"/>
  <c r="P59" i="10"/>
  <c r="K42" i="10"/>
  <c r="Q42" i="10" s="1"/>
  <c r="P42" i="10"/>
  <c r="P45" i="10"/>
  <c r="P46" i="10"/>
  <c r="P43" i="10"/>
  <c r="P44" i="10"/>
  <c r="P47" i="10"/>
  <c r="P52" i="2"/>
  <c r="P50" i="2"/>
  <c r="P51" i="2"/>
  <c r="P35" i="2"/>
  <c r="P38" i="2"/>
  <c r="P39" i="2"/>
  <c r="P34" i="2"/>
  <c r="O28" i="10"/>
  <c r="P28" i="10" s="1"/>
  <c r="P191" i="10" l="1"/>
  <c r="P204" i="10"/>
  <c r="P217" i="10"/>
  <c r="Q192" i="10"/>
  <c r="Q218" i="10"/>
  <c r="Q205" i="10"/>
  <c r="P87" i="10"/>
  <c r="Q88" i="10"/>
  <c r="Q114" i="10"/>
  <c r="Q153" i="10"/>
  <c r="P152" i="10"/>
  <c r="P113" i="10"/>
  <c r="Q101" i="10"/>
  <c r="P61" i="10"/>
  <c r="Q62" i="10"/>
  <c r="P55" i="2"/>
  <c r="Q56" i="2"/>
  <c r="Q166" i="10"/>
  <c r="P165" i="10"/>
  <c r="Q140" i="10"/>
  <c r="P139" i="10"/>
  <c r="P100" i="10"/>
  <c r="P48" i="10"/>
  <c r="Q49" i="10"/>
  <c r="Q28" i="10"/>
  <c r="P221" i="10" l="1"/>
  <c r="Q222" i="10"/>
  <c r="P169" i="10"/>
  <c r="P117" i="10"/>
  <c r="Q36" i="10"/>
  <c r="P35" i="10"/>
  <c r="P65" i="10" s="1"/>
  <c r="Q170" i="10"/>
  <c r="O21" i="2"/>
  <c r="O22" i="2"/>
  <c r="O23" i="2"/>
  <c r="O20" i="2"/>
  <c r="P227" i="10" l="1"/>
  <c r="D6" i="6" s="1"/>
  <c r="Q118" i="10"/>
  <c r="Q66" i="10"/>
  <c r="P21" i="2"/>
  <c r="Q21" i="2"/>
  <c r="Q228" i="10" l="1"/>
  <c r="D7" i="6" s="1"/>
  <c r="D17" i="1" l="1"/>
  <c r="C17" i="1"/>
  <c r="E17" i="1"/>
  <c r="Q22" i="2"/>
  <c r="P22" i="2"/>
  <c r="Q23" i="2"/>
  <c r="P23" i="2"/>
  <c r="Q12" i="8"/>
  <c r="L12" i="8"/>
  <c r="P20" i="2"/>
  <c r="G12" i="8" l="1"/>
  <c r="B19" i="8" s="1"/>
  <c r="B12" i="8"/>
  <c r="B18" i="8" l="1"/>
  <c r="T5" i="7"/>
  <c r="U5" i="7"/>
  <c r="V5" i="7"/>
  <c r="W5" i="7"/>
  <c r="X5" i="7"/>
  <c r="Y5" i="7"/>
  <c r="Z5" i="7"/>
  <c r="AA5" i="7"/>
  <c r="AB5" i="7"/>
  <c r="AC5" i="7"/>
  <c r="AD5" i="7"/>
  <c r="AE5" i="7"/>
  <c r="AF5" i="7"/>
  <c r="AG5" i="7"/>
  <c r="T6" i="7"/>
  <c r="U6" i="7"/>
  <c r="V6" i="7"/>
  <c r="W6" i="7"/>
  <c r="X6" i="7"/>
  <c r="Y6" i="7"/>
  <c r="Z6" i="7"/>
  <c r="AA6" i="7"/>
  <c r="AB6" i="7"/>
  <c r="AC6" i="7"/>
  <c r="AD6" i="7"/>
  <c r="AE6" i="7"/>
  <c r="AF6" i="7"/>
  <c r="AG6" i="7"/>
  <c r="T7" i="7"/>
  <c r="U7" i="7"/>
  <c r="V7" i="7"/>
  <c r="W7" i="7"/>
  <c r="X7" i="7"/>
  <c r="Y7" i="7"/>
  <c r="Z7" i="7"/>
  <c r="AA7" i="7"/>
  <c r="AB7" i="7"/>
  <c r="AC7" i="7"/>
  <c r="AD7" i="7"/>
  <c r="AE7" i="7"/>
  <c r="AF7" i="7"/>
  <c r="AG7" i="7"/>
  <c r="T8" i="7"/>
  <c r="U8" i="7"/>
  <c r="V8" i="7"/>
  <c r="W8" i="7"/>
  <c r="X8" i="7"/>
  <c r="Y8" i="7"/>
  <c r="Z8" i="7"/>
  <c r="AA8" i="7"/>
  <c r="AB8" i="7"/>
  <c r="AC8" i="7"/>
  <c r="AD8" i="7"/>
  <c r="AE8" i="7"/>
  <c r="AF8" i="7"/>
  <c r="AG8" i="7"/>
  <c r="T9" i="7"/>
  <c r="U9" i="7"/>
  <c r="V9" i="7"/>
  <c r="W9" i="7"/>
  <c r="X9" i="7"/>
  <c r="Y9" i="7"/>
  <c r="Z9" i="7"/>
  <c r="AA9" i="7"/>
  <c r="AB9" i="7"/>
  <c r="AC9" i="7"/>
  <c r="AD9" i="7"/>
  <c r="AE9" i="7"/>
  <c r="AF9" i="7"/>
  <c r="AG9" i="7"/>
  <c r="T10" i="7"/>
  <c r="U10" i="7"/>
  <c r="V10" i="7"/>
  <c r="W10" i="7"/>
  <c r="X10" i="7"/>
  <c r="Y10" i="7"/>
  <c r="Z10" i="7"/>
  <c r="AA10" i="7"/>
  <c r="AB10" i="7"/>
  <c r="AC10" i="7"/>
  <c r="AD10" i="7"/>
  <c r="AE10" i="7"/>
  <c r="AF10" i="7"/>
  <c r="AG10" i="7"/>
  <c r="T11" i="7"/>
  <c r="U11" i="7"/>
  <c r="V11" i="7"/>
  <c r="W11" i="7"/>
  <c r="X11" i="7"/>
  <c r="Y11" i="7"/>
  <c r="Z11" i="7"/>
  <c r="AA11" i="7"/>
  <c r="AB11" i="7"/>
  <c r="AC11" i="7"/>
  <c r="AD11" i="7"/>
  <c r="AE11" i="7"/>
  <c r="AF11" i="7"/>
  <c r="AG11" i="7"/>
  <c r="T12" i="7"/>
  <c r="U12" i="7"/>
  <c r="V12" i="7"/>
  <c r="W12" i="7"/>
  <c r="X12" i="7"/>
  <c r="Y12" i="7"/>
  <c r="Z12" i="7"/>
  <c r="AA12" i="7"/>
  <c r="AB12" i="7"/>
  <c r="AC12" i="7"/>
  <c r="AD12" i="7"/>
  <c r="AE12" i="7"/>
  <c r="AF12" i="7"/>
  <c r="AG12" i="7"/>
  <c r="T13" i="7"/>
  <c r="U13" i="7"/>
  <c r="V13" i="7"/>
  <c r="W13" i="7"/>
  <c r="X13" i="7"/>
  <c r="Y13" i="7"/>
  <c r="Z13" i="7"/>
  <c r="AA13" i="7"/>
  <c r="AB13" i="7"/>
  <c r="AC13" i="7"/>
  <c r="AD13" i="7"/>
  <c r="AE13" i="7"/>
  <c r="AF13" i="7"/>
  <c r="AG13" i="7"/>
  <c r="T14" i="7"/>
  <c r="U14" i="7"/>
  <c r="V14" i="7"/>
  <c r="W14" i="7"/>
  <c r="X14" i="7"/>
  <c r="Y14" i="7"/>
  <c r="Z14" i="7"/>
  <c r="AA14" i="7"/>
  <c r="AB14" i="7"/>
  <c r="AC14" i="7"/>
  <c r="AD14" i="7"/>
  <c r="AE14" i="7"/>
  <c r="AF14" i="7"/>
  <c r="AG14" i="7"/>
  <c r="T15" i="7"/>
  <c r="U15" i="7"/>
  <c r="V15" i="7"/>
  <c r="W15" i="7"/>
  <c r="X15" i="7"/>
  <c r="Y15" i="7"/>
  <c r="Z15" i="7"/>
  <c r="AA15" i="7"/>
  <c r="AB15" i="7"/>
  <c r="AC15" i="7"/>
  <c r="AD15" i="7"/>
  <c r="AE15" i="7"/>
  <c r="AF15" i="7"/>
  <c r="AG15" i="7"/>
  <c r="T16" i="7"/>
  <c r="U16" i="7"/>
  <c r="V16" i="7"/>
  <c r="W16" i="7"/>
  <c r="X16" i="7"/>
  <c r="Y16" i="7"/>
  <c r="Z16" i="7"/>
  <c r="AA16" i="7"/>
  <c r="AB16" i="7"/>
  <c r="AC16" i="7"/>
  <c r="AD16" i="7"/>
  <c r="AE16" i="7"/>
  <c r="AF16" i="7"/>
  <c r="AG16" i="7"/>
  <c r="T17" i="7"/>
  <c r="U17" i="7"/>
  <c r="V17" i="7"/>
  <c r="W17" i="7"/>
  <c r="X17" i="7"/>
  <c r="Y17" i="7"/>
  <c r="Z17" i="7"/>
  <c r="AA17" i="7"/>
  <c r="AB17" i="7"/>
  <c r="AC17" i="7"/>
  <c r="AD17" i="7"/>
  <c r="AE17" i="7"/>
  <c r="AF17" i="7"/>
  <c r="AG17" i="7"/>
  <c r="T18" i="7"/>
  <c r="U18" i="7"/>
  <c r="V18" i="7"/>
  <c r="W18" i="7"/>
  <c r="X18" i="7"/>
  <c r="Y18" i="7"/>
  <c r="Z18" i="7"/>
  <c r="AA18" i="7"/>
  <c r="AB18" i="7"/>
  <c r="AC18" i="7"/>
  <c r="AD18" i="7"/>
  <c r="AE18" i="7"/>
  <c r="AF18" i="7"/>
  <c r="AG18" i="7"/>
  <c r="T19" i="7"/>
  <c r="U19" i="7"/>
  <c r="V19" i="7"/>
  <c r="W19" i="7"/>
  <c r="X19" i="7"/>
  <c r="Y19" i="7"/>
  <c r="Z19" i="7"/>
  <c r="AA19" i="7"/>
  <c r="AB19" i="7"/>
  <c r="AC19" i="7"/>
  <c r="AD19" i="7"/>
  <c r="AE19" i="7"/>
  <c r="AF19" i="7"/>
  <c r="AG19" i="7"/>
  <c r="T20" i="7"/>
  <c r="U20" i="7"/>
  <c r="V20" i="7"/>
  <c r="W20" i="7"/>
  <c r="X20" i="7"/>
  <c r="Y20" i="7"/>
  <c r="Z20" i="7"/>
  <c r="AA20" i="7"/>
  <c r="AB20" i="7"/>
  <c r="AC20" i="7"/>
  <c r="AD20" i="7"/>
  <c r="AE20" i="7"/>
  <c r="AF20" i="7"/>
  <c r="AG20" i="7"/>
  <c r="T21" i="7"/>
  <c r="U21" i="7"/>
  <c r="V21" i="7"/>
  <c r="W21" i="7"/>
  <c r="X21" i="7"/>
  <c r="Y21" i="7"/>
  <c r="Z21" i="7"/>
  <c r="AA21" i="7"/>
  <c r="AB21" i="7"/>
  <c r="AC21" i="7"/>
  <c r="AD21" i="7"/>
  <c r="AE21" i="7"/>
  <c r="AF21" i="7"/>
  <c r="AG21" i="7"/>
  <c r="T22" i="7"/>
  <c r="U22" i="7"/>
  <c r="V22" i="7"/>
  <c r="W22" i="7"/>
  <c r="X22" i="7"/>
  <c r="Y22" i="7"/>
  <c r="Z22" i="7"/>
  <c r="AA22" i="7"/>
  <c r="AB22" i="7"/>
  <c r="AC22" i="7"/>
  <c r="AD22" i="7"/>
  <c r="AE22" i="7"/>
  <c r="AF22" i="7"/>
  <c r="AG22" i="7"/>
  <c r="T23" i="7"/>
  <c r="U23" i="7"/>
  <c r="V23" i="7"/>
  <c r="W23" i="7"/>
  <c r="X23" i="7"/>
  <c r="Y23" i="7"/>
  <c r="Z23" i="7"/>
  <c r="AA23" i="7"/>
  <c r="AB23" i="7"/>
  <c r="AC23" i="7"/>
  <c r="AD23" i="7"/>
  <c r="AE23" i="7"/>
  <c r="AF23" i="7"/>
  <c r="AG23" i="7"/>
  <c r="T24" i="7"/>
  <c r="U24" i="7"/>
  <c r="V24" i="7"/>
  <c r="W24" i="7"/>
  <c r="X24" i="7"/>
  <c r="Y24" i="7"/>
  <c r="Z24" i="7"/>
  <c r="AA24" i="7"/>
  <c r="AB24" i="7"/>
  <c r="AC24" i="7"/>
  <c r="AD24" i="7"/>
  <c r="AE24" i="7"/>
  <c r="AF24" i="7"/>
  <c r="AG24" i="7"/>
  <c r="T25" i="7"/>
  <c r="U25" i="7"/>
  <c r="V25" i="7"/>
  <c r="W25" i="7"/>
  <c r="X25" i="7"/>
  <c r="Y25" i="7"/>
  <c r="Z25" i="7"/>
  <c r="AA25" i="7"/>
  <c r="AB25" i="7"/>
  <c r="AC25" i="7"/>
  <c r="AD25" i="7"/>
  <c r="AE25" i="7"/>
  <c r="AF25" i="7"/>
  <c r="AG25" i="7"/>
  <c r="T26" i="7"/>
  <c r="U26" i="7"/>
  <c r="V26" i="7"/>
  <c r="W26" i="7"/>
  <c r="X26" i="7"/>
  <c r="Y26" i="7"/>
  <c r="Z26" i="7"/>
  <c r="AA26" i="7"/>
  <c r="AB26" i="7"/>
  <c r="AC26" i="7"/>
  <c r="AD26" i="7"/>
  <c r="AE26" i="7"/>
  <c r="AF26" i="7"/>
  <c r="AG26" i="7"/>
  <c r="T27" i="7"/>
  <c r="U27" i="7"/>
  <c r="V27" i="7"/>
  <c r="W27" i="7"/>
  <c r="X27" i="7"/>
  <c r="Y27" i="7"/>
  <c r="Z27" i="7"/>
  <c r="AA27" i="7"/>
  <c r="AB27" i="7"/>
  <c r="AC27" i="7"/>
  <c r="AD27" i="7"/>
  <c r="AE27" i="7"/>
  <c r="AF27" i="7"/>
  <c r="AG27" i="7"/>
  <c r="T28" i="7"/>
  <c r="U28" i="7"/>
  <c r="V28" i="7"/>
  <c r="W28" i="7"/>
  <c r="X28" i="7"/>
  <c r="Y28" i="7"/>
  <c r="Z28" i="7"/>
  <c r="AA28" i="7"/>
  <c r="AB28" i="7"/>
  <c r="AC28" i="7"/>
  <c r="AD28" i="7"/>
  <c r="AE28" i="7"/>
  <c r="AF28" i="7"/>
  <c r="AG28" i="7"/>
  <c r="T29" i="7"/>
  <c r="U29" i="7"/>
  <c r="V29" i="7"/>
  <c r="W29" i="7"/>
  <c r="X29" i="7"/>
  <c r="Y29" i="7"/>
  <c r="Z29" i="7"/>
  <c r="AA29" i="7"/>
  <c r="AB29" i="7"/>
  <c r="AC29" i="7"/>
  <c r="AD29" i="7"/>
  <c r="AE29" i="7"/>
  <c r="AF29" i="7"/>
  <c r="AG29" i="7"/>
  <c r="T30" i="7"/>
  <c r="U30" i="7"/>
  <c r="V30" i="7"/>
  <c r="W30" i="7"/>
  <c r="X30" i="7"/>
  <c r="Y30" i="7"/>
  <c r="Z30" i="7"/>
  <c r="AA30" i="7"/>
  <c r="AB30" i="7"/>
  <c r="AC30" i="7"/>
  <c r="AD30" i="7"/>
  <c r="AE30" i="7"/>
  <c r="AF30" i="7"/>
  <c r="AG30" i="7"/>
  <c r="T31" i="7"/>
  <c r="U31" i="7"/>
  <c r="V31" i="7"/>
  <c r="W31" i="7"/>
  <c r="X31" i="7"/>
  <c r="Y31" i="7"/>
  <c r="Z31" i="7"/>
  <c r="AA31" i="7"/>
  <c r="AB31" i="7"/>
  <c r="AC31" i="7"/>
  <c r="AD31" i="7"/>
  <c r="AE31" i="7"/>
  <c r="AF31" i="7"/>
  <c r="AG31" i="7"/>
  <c r="T32" i="7"/>
  <c r="U32" i="7"/>
  <c r="V32" i="7"/>
  <c r="W32" i="7"/>
  <c r="X32" i="7"/>
  <c r="Y32" i="7"/>
  <c r="Z32" i="7"/>
  <c r="AA32" i="7"/>
  <c r="AB32" i="7"/>
  <c r="AC32" i="7"/>
  <c r="AD32" i="7"/>
  <c r="AE32" i="7"/>
  <c r="AF32" i="7"/>
  <c r="AG32" i="7"/>
  <c r="T33" i="7"/>
  <c r="U33" i="7"/>
  <c r="V33" i="7"/>
  <c r="W33" i="7"/>
  <c r="X33" i="7"/>
  <c r="Y33" i="7"/>
  <c r="Z33" i="7"/>
  <c r="AA33" i="7"/>
  <c r="AB33" i="7"/>
  <c r="AC33" i="7"/>
  <c r="AD33" i="7"/>
  <c r="AE33" i="7"/>
  <c r="AF33" i="7"/>
  <c r="AG33" i="7"/>
  <c r="T34" i="7"/>
  <c r="U34" i="7"/>
  <c r="V34" i="7"/>
  <c r="W34" i="7"/>
  <c r="X34" i="7"/>
  <c r="Y34" i="7"/>
  <c r="Z34" i="7"/>
  <c r="AA34" i="7"/>
  <c r="AB34" i="7"/>
  <c r="AC34" i="7"/>
  <c r="AD34" i="7"/>
  <c r="AE34" i="7"/>
  <c r="AF34" i="7"/>
  <c r="AG34" i="7"/>
  <c r="T35" i="7"/>
  <c r="U35" i="7"/>
  <c r="V35" i="7"/>
  <c r="W35" i="7"/>
  <c r="X35" i="7"/>
  <c r="Y35" i="7"/>
  <c r="Z35" i="7"/>
  <c r="AA35" i="7"/>
  <c r="AB35" i="7"/>
  <c r="AC35" i="7"/>
  <c r="AD35" i="7"/>
  <c r="AE35" i="7"/>
  <c r="AF35" i="7"/>
  <c r="AG35" i="7"/>
  <c r="T36" i="7"/>
  <c r="U36" i="7"/>
  <c r="V36" i="7"/>
  <c r="W36" i="7"/>
  <c r="X36" i="7"/>
  <c r="Y36" i="7"/>
  <c r="Z36" i="7"/>
  <c r="AA36" i="7"/>
  <c r="AB36" i="7"/>
  <c r="AC36" i="7"/>
  <c r="AD36" i="7"/>
  <c r="AE36" i="7"/>
  <c r="AF36" i="7"/>
  <c r="AG36" i="7"/>
  <c r="T37" i="7"/>
  <c r="U37" i="7"/>
  <c r="V37" i="7"/>
  <c r="W37" i="7"/>
  <c r="X37" i="7"/>
  <c r="Y37" i="7"/>
  <c r="Z37" i="7"/>
  <c r="AA37" i="7"/>
  <c r="AB37" i="7"/>
  <c r="AC37" i="7"/>
  <c r="AD37" i="7"/>
  <c r="AE37" i="7"/>
  <c r="AF37" i="7"/>
  <c r="AG37" i="7"/>
  <c r="T38" i="7"/>
  <c r="U38" i="7"/>
  <c r="V38" i="7"/>
  <c r="W38" i="7"/>
  <c r="X38" i="7"/>
  <c r="Y38" i="7"/>
  <c r="Z38" i="7"/>
  <c r="AA38" i="7"/>
  <c r="AB38" i="7"/>
  <c r="AC38" i="7"/>
  <c r="AD38" i="7"/>
  <c r="AE38" i="7"/>
  <c r="AF38" i="7"/>
  <c r="AG38" i="7"/>
  <c r="T39" i="7"/>
  <c r="U39" i="7"/>
  <c r="V39" i="7"/>
  <c r="W39" i="7"/>
  <c r="X39" i="7"/>
  <c r="Y39" i="7"/>
  <c r="Z39" i="7"/>
  <c r="AA39" i="7"/>
  <c r="AB39" i="7"/>
  <c r="AC39" i="7"/>
  <c r="AD39" i="7"/>
  <c r="AE39" i="7"/>
  <c r="AF39" i="7"/>
  <c r="AG39" i="7"/>
  <c r="T40" i="7"/>
  <c r="U40" i="7"/>
  <c r="V40" i="7"/>
  <c r="W40" i="7"/>
  <c r="X40" i="7"/>
  <c r="Y40" i="7"/>
  <c r="Z40" i="7"/>
  <c r="AA40" i="7"/>
  <c r="AB40" i="7"/>
  <c r="AC40" i="7"/>
  <c r="AD40" i="7"/>
  <c r="AE40" i="7"/>
  <c r="AF40" i="7"/>
  <c r="AG40" i="7"/>
  <c r="T41" i="7"/>
  <c r="U41" i="7"/>
  <c r="V41" i="7"/>
  <c r="W41" i="7"/>
  <c r="X41" i="7"/>
  <c r="Y41" i="7"/>
  <c r="Z41" i="7"/>
  <c r="AA41" i="7"/>
  <c r="AB41" i="7"/>
  <c r="AC41" i="7"/>
  <c r="AD41" i="7"/>
  <c r="AE41" i="7"/>
  <c r="AF41" i="7"/>
  <c r="AG41" i="7"/>
  <c r="T42" i="7"/>
  <c r="U42" i="7"/>
  <c r="V42" i="7"/>
  <c r="W42" i="7"/>
  <c r="X42" i="7"/>
  <c r="Y42" i="7"/>
  <c r="Z42" i="7"/>
  <c r="AA42" i="7"/>
  <c r="AB42" i="7"/>
  <c r="AC42" i="7"/>
  <c r="AD42" i="7"/>
  <c r="AE42" i="7"/>
  <c r="AF42" i="7"/>
  <c r="AG42" i="7"/>
  <c r="T43" i="7"/>
  <c r="U43" i="7"/>
  <c r="V43" i="7"/>
  <c r="W43" i="7"/>
  <c r="X43" i="7"/>
  <c r="Y43" i="7"/>
  <c r="Z43" i="7"/>
  <c r="AA43" i="7"/>
  <c r="AB43" i="7"/>
  <c r="AC43" i="7"/>
  <c r="AD43" i="7"/>
  <c r="AE43" i="7"/>
  <c r="AF43" i="7"/>
  <c r="AG43" i="7"/>
  <c r="T44" i="7"/>
  <c r="U44" i="7"/>
  <c r="V44" i="7"/>
  <c r="W44" i="7"/>
  <c r="X44" i="7"/>
  <c r="Y44" i="7"/>
  <c r="Z44" i="7"/>
  <c r="AA44" i="7"/>
  <c r="AB44" i="7"/>
  <c r="AC44" i="7"/>
  <c r="AD44" i="7"/>
  <c r="AE44" i="7"/>
  <c r="AF44" i="7"/>
  <c r="AG44" i="7"/>
  <c r="T45" i="7"/>
  <c r="U45" i="7"/>
  <c r="V45" i="7"/>
  <c r="W45" i="7"/>
  <c r="X45" i="7"/>
  <c r="Y45" i="7"/>
  <c r="Z45" i="7"/>
  <c r="AA45" i="7"/>
  <c r="AB45" i="7"/>
  <c r="AC45" i="7"/>
  <c r="AD45" i="7"/>
  <c r="AE45" i="7"/>
  <c r="AF45" i="7"/>
  <c r="AG45" i="7"/>
  <c r="T46" i="7"/>
  <c r="U46" i="7"/>
  <c r="V46" i="7"/>
  <c r="W46" i="7"/>
  <c r="X46" i="7"/>
  <c r="Y46" i="7"/>
  <c r="Z46" i="7"/>
  <c r="AA46" i="7"/>
  <c r="AB46" i="7"/>
  <c r="AC46" i="7"/>
  <c r="AD46" i="7"/>
  <c r="AE46" i="7"/>
  <c r="AF46" i="7"/>
  <c r="AG46" i="7"/>
  <c r="T47" i="7"/>
  <c r="U47" i="7"/>
  <c r="V47" i="7"/>
  <c r="W47" i="7"/>
  <c r="X47" i="7"/>
  <c r="Y47" i="7"/>
  <c r="Z47" i="7"/>
  <c r="AA47" i="7"/>
  <c r="AB47" i="7"/>
  <c r="AC47" i="7"/>
  <c r="AD47" i="7"/>
  <c r="AE47" i="7"/>
  <c r="AF47" i="7"/>
  <c r="AG47" i="7"/>
  <c r="T48" i="7"/>
  <c r="U48" i="7"/>
  <c r="V48" i="7"/>
  <c r="W48" i="7"/>
  <c r="X48" i="7"/>
  <c r="Y48" i="7"/>
  <c r="Z48" i="7"/>
  <c r="AA48" i="7"/>
  <c r="AB48" i="7"/>
  <c r="AC48" i="7"/>
  <c r="AD48" i="7"/>
  <c r="AE48" i="7"/>
  <c r="AF48" i="7"/>
  <c r="AG48" i="7"/>
  <c r="T49" i="7"/>
  <c r="U49" i="7"/>
  <c r="V49" i="7"/>
  <c r="W49" i="7"/>
  <c r="X49" i="7"/>
  <c r="Y49" i="7"/>
  <c r="Z49" i="7"/>
  <c r="AA49" i="7"/>
  <c r="AB49" i="7"/>
  <c r="AC49" i="7"/>
  <c r="AD49" i="7"/>
  <c r="AE49" i="7"/>
  <c r="AF49" i="7"/>
  <c r="AG49" i="7"/>
  <c r="T50" i="7"/>
  <c r="U50" i="7"/>
  <c r="V50" i="7"/>
  <c r="W50" i="7"/>
  <c r="X50" i="7"/>
  <c r="Y50" i="7"/>
  <c r="Z50" i="7"/>
  <c r="AA50" i="7"/>
  <c r="AB50" i="7"/>
  <c r="AC50" i="7"/>
  <c r="AD50" i="7"/>
  <c r="AE50" i="7"/>
  <c r="AF50" i="7"/>
  <c r="AG50" i="7"/>
  <c r="T51" i="7"/>
  <c r="U51" i="7"/>
  <c r="V51" i="7"/>
  <c r="W51" i="7"/>
  <c r="X51" i="7"/>
  <c r="Y51" i="7"/>
  <c r="Z51" i="7"/>
  <c r="AA51" i="7"/>
  <c r="AB51" i="7"/>
  <c r="AC51" i="7"/>
  <c r="AD51" i="7"/>
  <c r="AE51" i="7"/>
  <c r="AF51" i="7"/>
  <c r="AG51" i="7"/>
  <c r="T52" i="7"/>
  <c r="U52" i="7"/>
  <c r="V52" i="7"/>
  <c r="W52" i="7"/>
  <c r="X52" i="7"/>
  <c r="Y52" i="7"/>
  <c r="Z52" i="7"/>
  <c r="AA52" i="7"/>
  <c r="AB52" i="7"/>
  <c r="AC52" i="7"/>
  <c r="AD52" i="7"/>
  <c r="AE52" i="7"/>
  <c r="AF52" i="7"/>
  <c r="AG52" i="7"/>
  <c r="T53" i="7"/>
  <c r="U53" i="7"/>
  <c r="V53" i="7"/>
  <c r="W53" i="7"/>
  <c r="X53" i="7"/>
  <c r="Y53" i="7"/>
  <c r="Z53" i="7"/>
  <c r="AA53" i="7"/>
  <c r="AB53" i="7"/>
  <c r="AC53" i="7"/>
  <c r="AD53" i="7"/>
  <c r="AE53" i="7"/>
  <c r="AF53" i="7"/>
  <c r="AG53" i="7"/>
  <c r="T54" i="7"/>
  <c r="U54" i="7"/>
  <c r="V54" i="7"/>
  <c r="W54" i="7"/>
  <c r="X54" i="7"/>
  <c r="Y54" i="7"/>
  <c r="Z54" i="7"/>
  <c r="AA54" i="7"/>
  <c r="AB54" i="7"/>
  <c r="AC54" i="7"/>
  <c r="AD54" i="7"/>
  <c r="AE54" i="7"/>
  <c r="AF54" i="7"/>
  <c r="AG54" i="7"/>
  <c r="T55" i="7"/>
  <c r="U55" i="7"/>
  <c r="V55" i="7"/>
  <c r="W55" i="7"/>
  <c r="X55" i="7"/>
  <c r="Y55" i="7"/>
  <c r="Z55" i="7"/>
  <c r="AA55" i="7"/>
  <c r="AB55" i="7"/>
  <c r="AC55" i="7"/>
  <c r="AD55" i="7"/>
  <c r="AE55" i="7"/>
  <c r="AF55" i="7"/>
  <c r="AG55" i="7"/>
  <c r="T56" i="7"/>
  <c r="U56" i="7"/>
  <c r="V56" i="7"/>
  <c r="W56" i="7"/>
  <c r="X56" i="7"/>
  <c r="Y56" i="7"/>
  <c r="Z56" i="7"/>
  <c r="AA56" i="7"/>
  <c r="AB56" i="7"/>
  <c r="AC56" i="7"/>
  <c r="AD56" i="7"/>
  <c r="AE56" i="7"/>
  <c r="AF56" i="7"/>
  <c r="AG56" i="7"/>
  <c r="T57" i="7"/>
  <c r="U57" i="7"/>
  <c r="V57" i="7"/>
  <c r="W57" i="7"/>
  <c r="X57" i="7"/>
  <c r="Y57" i="7"/>
  <c r="Z57" i="7"/>
  <c r="AA57" i="7"/>
  <c r="AB57" i="7"/>
  <c r="AC57" i="7"/>
  <c r="AD57" i="7"/>
  <c r="AE57" i="7"/>
  <c r="AF57" i="7"/>
  <c r="AG57" i="7"/>
  <c r="T58" i="7"/>
  <c r="U58" i="7"/>
  <c r="V58" i="7"/>
  <c r="W58" i="7"/>
  <c r="X58" i="7"/>
  <c r="Y58" i="7"/>
  <c r="Z58" i="7"/>
  <c r="AA58" i="7"/>
  <c r="AB58" i="7"/>
  <c r="AC58" i="7"/>
  <c r="AD58" i="7"/>
  <c r="AE58" i="7"/>
  <c r="AF58" i="7"/>
  <c r="AG58" i="7"/>
  <c r="T59" i="7"/>
  <c r="U59" i="7"/>
  <c r="V59" i="7"/>
  <c r="W59" i="7"/>
  <c r="X59" i="7"/>
  <c r="Y59" i="7"/>
  <c r="Z59" i="7"/>
  <c r="AA59" i="7"/>
  <c r="AB59" i="7"/>
  <c r="AC59" i="7"/>
  <c r="AD59" i="7"/>
  <c r="AE59" i="7"/>
  <c r="AF59" i="7"/>
  <c r="AG59" i="7"/>
  <c r="T60" i="7"/>
  <c r="U60" i="7"/>
  <c r="V60" i="7"/>
  <c r="W60" i="7"/>
  <c r="X60" i="7"/>
  <c r="Y60" i="7"/>
  <c r="Z60" i="7"/>
  <c r="AA60" i="7"/>
  <c r="AB60" i="7"/>
  <c r="AC60" i="7"/>
  <c r="AD60" i="7"/>
  <c r="AE60" i="7"/>
  <c r="AF60" i="7"/>
  <c r="AG60" i="7"/>
  <c r="T61" i="7"/>
  <c r="U61" i="7"/>
  <c r="V61" i="7"/>
  <c r="W61" i="7"/>
  <c r="X61" i="7"/>
  <c r="Y61" i="7"/>
  <c r="Z61" i="7"/>
  <c r="AA61" i="7"/>
  <c r="AB61" i="7"/>
  <c r="AC61" i="7"/>
  <c r="AD61" i="7"/>
  <c r="AE61" i="7"/>
  <c r="AF61" i="7"/>
  <c r="AG61" i="7"/>
  <c r="T62" i="7"/>
  <c r="U62" i="7"/>
  <c r="V62" i="7"/>
  <c r="W62" i="7"/>
  <c r="X62" i="7"/>
  <c r="Y62" i="7"/>
  <c r="Z62" i="7"/>
  <c r="AA62" i="7"/>
  <c r="AB62" i="7"/>
  <c r="AC62" i="7"/>
  <c r="AD62" i="7"/>
  <c r="AE62" i="7"/>
  <c r="AF62" i="7"/>
  <c r="AG62" i="7"/>
  <c r="T63" i="7"/>
  <c r="U63" i="7"/>
  <c r="V63" i="7"/>
  <c r="W63" i="7"/>
  <c r="X63" i="7"/>
  <c r="Y63" i="7"/>
  <c r="Z63" i="7"/>
  <c r="AA63" i="7"/>
  <c r="AB63" i="7"/>
  <c r="AC63" i="7"/>
  <c r="AD63" i="7"/>
  <c r="AE63" i="7"/>
  <c r="AF63" i="7"/>
  <c r="AG63" i="7"/>
  <c r="T64" i="7"/>
  <c r="U64" i="7"/>
  <c r="V64" i="7"/>
  <c r="W64" i="7"/>
  <c r="X64" i="7"/>
  <c r="Y64" i="7"/>
  <c r="Z64" i="7"/>
  <c r="AA64" i="7"/>
  <c r="AB64" i="7"/>
  <c r="AC64" i="7"/>
  <c r="AD64" i="7"/>
  <c r="AE64" i="7"/>
  <c r="AF64" i="7"/>
  <c r="AG64" i="7"/>
  <c r="T65" i="7"/>
  <c r="U65" i="7"/>
  <c r="V65" i="7"/>
  <c r="W65" i="7"/>
  <c r="X65" i="7"/>
  <c r="Y65" i="7"/>
  <c r="Z65" i="7"/>
  <c r="AA65" i="7"/>
  <c r="AB65" i="7"/>
  <c r="AC65" i="7"/>
  <c r="AD65" i="7"/>
  <c r="AE65" i="7"/>
  <c r="AF65" i="7"/>
  <c r="AG65" i="7"/>
  <c r="T66" i="7"/>
  <c r="U66" i="7"/>
  <c r="V66" i="7"/>
  <c r="W66" i="7"/>
  <c r="X66" i="7"/>
  <c r="Y66" i="7"/>
  <c r="Z66" i="7"/>
  <c r="AA66" i="7"/>
  <c r="AB66" i="7"/>
  <c r="AC66" i="7"/>
  <c r="AD66" i="7"/>
  <c r="AE66" i="7"/>
  <c r="AF66" i="7"/>
  <c r="AG66" i="7"/>
  <c r="T67" i="7"/>
  <c r="U67" i="7"/>
  <c r="V67" i="7"/>
  <c r="W67" i="7"/>
  <c r="X67" i="7"/>
  <c r="Y67" i="7"/>
  <c r="Z67" i="7"/>
  <c r="AA67" i="7"/>
  <c r="AB67" i="7"/>
  <c r="AC67" i="7"/>
  <c r="AD67" i="7"/>
  <c r="AE67" i="7"/>
  <c r="AF67" i="7"/>
  <c r="AG67" i="7"/>
  <c r="T68" i="7"/>
  <c r="U68" i="7"/>
  <c r="V68" i="7"/>
  <c r="W68" i="7"/>
  <c r="X68" i="7"/>
  <c r="Y68" i="7"/>
  <c r="Z68" i="7"/>
  <c r="AA68" i="7"/>
  <c r="AB68" i="7"/>
  <c r="AC68" i="7"/>
  <c r="AD68" i="7"/>
  <c r="AE68" i="7"/>
  <c r="AF68" i="7"/>
  <c r="AG68" i="7"/>
  <c r="T69" i="7"/>
  <c r="U69" i="7"/>
  <c r="V69" i="7"/>
  <c r="W69" i="7"/>
  <c r="X69" i="7"/>
  <c r="Y69" i="7"/>
  <c r="Z69" i="7"/>
  <c r="AA69" i="7"/>
  <c r="AB69" i="7"/>
  <c r="AC69" i="7"/>
  <c r="AD69" i="7"/>
  <c r="AE69" i="7"/>
  <c r="AF69" i="7"/>
  <c r="AG69" i="7"/>
  <c r="T70" i="7"/>
  <c r="U70" i="7"/>
  <c r="V70" i="7"/>
  <c r="W70" i="7"/>
  <c r="X70" i="7"/>
  <c r="Y70" i="7"/>
  <c r="Z70" i="7"/>
  <c r="AA70" i="7"/>
  <c r="AB70" i="7"/>
  <c r="AC70" i="7"/>
  <c r="AD70" i="7"/>
  <c r="AE70" i="7"/>
  <c r="AF70" i="7"/>
  <c r="AG70" i="7"/>
  <c r="T71" i="7"/>
  <c r="U71" i="7"/>
  <c r="V71" i="7"/>
  <c r="W71" i="7"/>
  <c r="X71" i="7"/>
  <c r="Y71" i="7"/>
  <c r="Z71" i="7"/>
  <c r="AA71" i="7"/>
  <c r="AB71" i="7"/>
  <c r="AC71" i="7"/>
  <c r="AD71" i="7"/>
  <c r="AE71" i="7"/>
  <c r="AF71" i="7"/>
  <c r="AG71" i="7"/>
  <c r="T72" i="7"/>
  <c r="U72" i="7"/>
  <c r="V72" i="7"/>
  <c r="W72" i="7"/>
  <c r="X72" i="7"/>
  <c r="Y72" i="7"/>
  <c r="Z72" i="7"/>
  <c r="AA72" i="7"/>
  <c r="AB72" i="7"/>
  <c r="AC72" i="7"/>
  <c r="AD72" i="7"/>
  <c r="AE72" i="7"/>
  <c r="AF72" i="7"/>
  <c r="AG72" i="7"/>
  <c r="T73" i="7"/>
  <c r="U73" i="7"/>
  <c r="V73" i="7"/>
  <c r="W73" i="7"/>
  <c r="X73" i="7"/>
  <c r="Y73" i="7"/>
  <c r="Z73" i="7"/>
  <c r="AA73" i="7"/>
  <c r="AB73" i="7"/>
  <c r="AC73" i="7"/>
  <c r="AD73" i="7"/>
  <c r="AE73" i="7"/>
  <c r="AF73" i="7"/>
  <c r="AG73" i="7"/>
  <c r="T74" i="7"/>
  <c r="U74" i="7"/>
  <c r="V74" i="7"/>
  <c r="W74" i="7"/>
  <c r="X74" i="7"/>
  <c r="Y74" i="7"/>
  <c r="Z74" i="7"/>
  <c r="AA74" i="7"/>
  <c r="AB74" i="7"/>
  <c r="AC74" i="7"/>
  <c r="AD74" i="7"/>
  <c r="AE74" i="7"/>
  <c r="AF74" i="7"/>
  <c r="AG74" i="7"/>
  <c r="T75" i="7"/>
  <c r="U75" i="7"/>
  <c r="V75" i="7"/>
  <c r="W75" i="7"/>
  <c r="X75" i="7"/>
  <c r="Y75" i="7"/>
  <c r="Z75" i="7"/>
  <c r="AA75" i="7"/>
  <c r="AB75" i="7"/>
  <c r="AC75" i="7"/>
  <c r="AD75" i="7"/>
  <c r="AE75" i="7"/>
  <c r="AF75" i="7"/>
  <c r="AG75" i="7"/>
  <c r="T76" i="7"/>
  <c r="U76" i="7"/>
  <c r="V76" i="7"/>
  <c r="W76" i="7"/>
  <c r="X76" i="7"/>
  <c r="Y76" i="7"/>
  <c r="Z76" i="7"/>
  <c r="AA76" i="7"/>
  <c r="AB76" i="7"/>
  <c r="AC76" i="7"/>
  <c r="AD76" i="7"/>
  <c r="AE76" i="7"/>
  <c r="AF76" i="7"/>
  <c r="AG76" i="7"/>
  <c r="T77" i="7"/>
  <c r="U77" i="7"/>
  <c r="V77" i="7"/>
  <c r="W77" i="7"/>
  <c r="X77" i="7"/>
  <c r="Y77" i="7"/>
  <c r="Z77" i="7"/>
  <c r="AA77" i="7"/>
  <c r="AB77" i="7"/>
  <c r="AC77" i="7"/>
  <c r="AD77" i="7"/>
  <c r="AE77" i="7"/>
  <c r="AF77" i="7"/>
  <c r="AG77" i="7"/>
  <c r="T78" i="7"/>
  <c r="U78" i="7"/>
  <c r="V78" i="7"/>
  <c r="W78" i="7"/>
  <c r="X78" i="7"/>
  <c r="Y78" i="7"/>
  <c r="Z78" i="7"/>
  <c r="AA78" i="7"/>
  <c r="AB78" i="7"/>
  <c r="AC78" i="7"/>
  <c r="AD78" i="7"/>
  <c r="AE78" i="7"/>
  <c r="AF78" i="7"/>
  <c r="AG78" i="7"/>
  <c r="T79" i="7"/>
  <c r="U79" i="7"/>
  <c r="V79" i="7"/>
  <c r="W79" i="7"/>
  <c r="X79" i="7"/>
  <c r="Y79" i="7"/>
  <c r="Z79" i="7"/>
  <c r="AA79" i="7"/>
  <c r="AB79" i="7"/>
  <c r="AC79" i="7"/>
  <c r="AD79" i="7"/>
  <c r="AE79" i="7"/>
  <c r="AF79" i="7"/>
  <c r="AG79" i="7"/>
  <c r="T80" i="7"/>
  <c r="U80" i="7"/>
  <c r="V80" i="7"/>
  <c r="W80" i="7"/>
  <c r="X80" i="7"/>
  <c r="Y80" i="7"/>
  <c r="Z80" i="7"/>
  <c r="AA80" i="7"/>
  <c r="AB80" i="7"/>
  <c r="AC80" i="7"/>
  <c r="AD80" i="7"/>
  <c r="AE80" i="7"/>
  <c r="AF80" i="7"/>
  <c r="AG80" i="7"/>
  <c r="T81" i="7"/>
  <c r="U81" i="7"/>
  <c r="V81" i="7"/>
  <c r="W81" i="7"/>
  <c r="X81" i="7"/>
  <c r="Y81" i="7"/>
  <c r="Z81" i="7"/>
  <c r="AA81" i="7"/>
  <c r="AB81" i="7"/>
  <c r="AC81" i="7"/>
  <c r="AD81" i="7"/>
  <c r="AE81" i="7"/>
  <c r="AF81" i="7"/>
  <c r="AG81" i="7"/>
  <c r="T82" i="7"/>
  <c r="U82" i="7"/>
  <c r="V82" i="7"/>
  <c r="W82" i="7"/>
  <c r="X82" i="7"/>
  <c r="Y82" i="7"/>
  <c r="Z82" i="7"/>
  <c r="AA82" i="7"/>
  <c r="AB82" i="7"/>
  <c r="AC82" i="7"/>
  <c r="AD82" i="7"/>
  <c r="AE82" i="7"/>
  <c r="AF82" i="7"/>
  <c r="AG82" i="7"/>
  <c r="T83" i="7"/>
  <c r="U83" i="7"/>
  <c r="V83" i="7"/>
  <c r="W83" i="7"/>
  <c r="X83" i="7"/>
  <c r="Y83" i="7"/>
  <c r="Z83" i="7"/>
  <c r="AA83" i="7"/>
  <c r="AB83" i="7"/>
  <c r="AC83" i="7"/>
  <c r="AD83" i="7"/>
  <c r="AE83" i="7"/>
  <c r="AF83" i="7"/>
  <c r="AG83" i="7"/>
  <c r="T84" i="7"/>
  <c r="U84" i="7"/>
  <c r="V84" i="7"/>
  <c r="W84" i="7"/>
  <c r="X84" i="7"/>
  <c r="Y84" i="7"/>
  <c r="Z84" i="7"/>
  <c r="AA84" i="7"/>
  <c r="AB84" i="7"/>
  <c r="AC84" i="7"/>
  <c r="AD84" i="7"/>
  <c r="AE84" i="7"/>
  <c r="AF84" i="7"/>
  <c r="AG84" i="7"/>
  <c r="T85" i="7"/>
  <c r="U85" i="7"/>
  <c r="V85" i="7"/>
  <c r="W85" i="7"/>
  <c r="X85" i="7"/>
  <c r="Y85" i="7"/>
  <c r="Z85" i="7"/>
  <c r="AA85" i="7"/>
  <c r="AB85" i="7"/>
  <c r="AC85" i="7"/>
  <c r="AD85" i="7"/>
  <c r="AE85" i="7"/>
  <c r="AF85" i="7"/>
  <c r="AG85" i="7"/>
  <c r="T86" i="7"/>
  <c r="U86" i="7"/>
  <c r="V86" i="7"/>
  <c r="W86" i="7"/>
  <c r="X86" i="7"/>
  <c r="Y86" i="7"/>
  <c r="Z86" i="7"/>
  <c r="AA86" i="7"/>
  <c r="AB86" i="7"/>
  <c r="AC86" i="7"/>
  <c r="AD86" i="7"/>
  <c r="AE86" i="7"/>
  <c r="AF86" i="7"/>
  <c r="AG86" i="7"/>
  <c r="T87" i="7"/>
  <c r="U87" i="7"/>
  <c r="V87" i="7"/>
  <c r="W87" i="7"/>
  <c r="X87" i="7"/>
  <c r="Y87" i="7"/>
  <c r="Z87" i="7"/>
  <c r="AA87" i="7"/>
  <c r="AB87" i="7"/>
  <c r="AC87" i="7"/>
  <c r="AD87" i="7"/>
  <c r="AE87" i="7"/>
  <c r="AF87" i="7"/>
  <c r="AG87" i="7"/>
  <c r="T88" i="7"/>
  <c r="U88" i="7"/>
  <c r="V88" i="7"/>
  <c r="W88" i="7"/>
  <c r="X88" i="7"/>
  <c r="Y88" i="7"/>
  <c r="Z88" i="7"/>
  <c r="AA88" i="7"/>
  <c r="AB88" i="7"/>
  <c r="AC88" i="7"/>
  <c r="AD88" i="7"/>
  <c r="AE88" i="7"/>
  <c r="AF88" i="7"/>
  <c r="AG88" i="7"/>
  <c r="T89" i="7"/>
  <c r="U89" i="7"/>
  <c r="V89" i="7"/>
  <c r="W89" i="7"/>
  <c r="X89" i="7"/>
  <c r="Y89" i="7"/>
  <c r="Z89" i="7"/>
  <c r="AA89" i="7"/>
  <c r="AB89" i="7"/>
  <c r="AC89" i="7"/>
  <c r="AD89" i="7"/>
  <c r="AE89" i="7"/>
  <c r="AF89" i="7"/>
  <c r="AG89" i="7"/>
  <c r="T90" i="7"/>
  <c r="U90" i="7"/>
  <c r="V90" i="7"/>
  <c r="W90" i="7"/>
  <c r="X90" i="7"/>
  <c r="Y90" i="7"/>
  <c r="Z90" i="7"/>
  <c r="AA90" i="7"/>
  <c r="AB90" i="7"/>
  <c r="AC90" i="7"/>
  <c r="AD90" i="7"/>
  <c r="AE90" i="7"/>
  <c r="AF90" i="7"/>
  <c r="AG90" i="7"/>
  <c r="T91" i="7"/>
  <c r="U91" i="7"/>
  <c r="V91" i="7"/>
  <c r="W91" i="7"/>
  <c r="X91" i="7"/>
  <c r="Y91" i="7"/>
  <c r="Z91" i="7"/>
  <c r="AA91" i="7"/>
  <c r="AB91" i="7"/>
  <c r="AC91" i="7"/>
  <c r="AD91" i="7"/>
  <c r="AE91" i="7"/>
  <c r="AF91" i="7"/>
  <c r="AG91" i="7"/>
  <c r="T92" i="7"/>
  <c r="U92" i="7"/>
  <c r="V92" i="7"/>
  <c r="W92" i="7"/>
  <c r="X92" i="7"/>
  <c r="Y92" i="7"/>
  <c r="Z92" i="7"/>
  <c r="AA92" i="7"/>
  <c r="AB92" i="7"/>
  <c r="AC92" i="7"/>
  <c r="AD92" i="7"/>
  <c r="AE92" i="7"/>
  <c r="AF92" i="7"/>
  <c r="AG92" i="7"/>
  <c r="T93" i="7"/>
  <c r="U93" i="7"/>
  <c r="V93" i="7"/>
  <c r="W93" i="7"/>
  <c r="X93" i="7"/>
  <c r="Y93" i="7"/>
  <c r="Z93" i="7"/>
  <c r="AA93" i="7"/>
  <c r="AB93" i="7"/>
  <c r="AC93" i="7"/>
  <c r="AD93" i="7"/>
  <c r="AE93" i="7"/>
  <c r="AF93" i="7"/>
  <c r="AG93" i="7"/>
  <c r="T94" i="7"/>
  <c r="U94" i="7"/>
  <c r="V94" i="7"/>
  <c r="W94" i="7"/>
  <c r="X94" i="7"/>
  <c r="Y94" i="7"/>
  <c r="Z94" i="7"/>
  <c r="AA94" i="7"/>
  <c r="AB94" i="7"/>
  <c r="AC94" i="7"/>
  <c r="AD94" i="7"/>
  <c r="AE94" i="7"/>
  <c r="AF94" i="7"/>
  <c r="AG94" i="7"/>
  <c r="T95" i="7"/>
  <c r="U95" i="7"/>
  <c r="V95" i="7"/>
  <c r="W95" i="7"/>
  <c r="X95" i="7"/>
  <c r="Y95" i="7"/>
  <c r="Z95" i="7"/>
  <c r="AA95" i="7"/>
  <c r="AB95" i="7"/>
  <c r="AC95" i="7"/>
  <c r="AD95" i="7"/>
  <c r="AE95" i="7"/>
  <c r="AF95" i="7"/>
  <c r="AG95" i="7"/>
  <c r="V4" i="7"/>
  <c r="W4" i="7"/>
  <c r="X4" i="7"/>
  <c r="Y4" i="7"/>
  <c r="Z4" i="7"/>
  <c r="AA4" i="7"/>
  <c r="AB4" i="7"/>
  <c r="AC4" i="7"/>
  <c r="AD4" i="7"/>
  <c r="AE4" i="7"/>
  <c r="AF4" i="7"/>
  <c r="AG4" i="7"/>
  <c r="U4" i="7"/>
  <c r="T4" i="7"/>
  <c r="C12" i="3" l="1"/>
  <c r="C15" i="3" s="1"/>
  <c r="D12" i="3"/>
  <c r="D15" i="3" s="1"/>
  <c r="B15" i="3"/>
  <c r="D18" i="3" l="1"/>
  <c r="D21" i="3" s="1"/>
  <c r="D24" i="3" s="1"/>
  <c r="D28" i="3" s="1"/>
  <c r="E13" i="1" s="1"/>
  <c r="B18" i="3"/>
  <c r="B21" i="3" s="1"/>
  <c r="B24" i="3" s="1"/>
  <c r="B28" i="3" s="1"/>
  <c r="C13" i="1" s="1"/>
  <c r="C18" i="3"/>
  <c r="C21" i="3" s="1"/>
  <c r="C24" i="3" s="1"/>
  <c r="C28" i="3" s="1"/>
  <c r="D13" i="1" s="1"/>
  <c r="P41" i="2" l="1"/>
  <c r="P27" i="2"/>
  <c r="Q42" i="2"/>
  <c r="Q20" i="2" l="1"/>
  <c r="Q28" i="2" s="1"/>
  <c r="Q61" i="2" s="1"/>
  <c r="D3" i="6" s="1"/>
  <c r="E18" i="1"/>
  <c r="P60" i="2"/>
  <c r="D2" i="6" s="1"/>
  <c r="B188"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B6" i="7"/>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A6" i="7"/>
  <c r="A5" i="7"/>
  <c r="E14" i="1" l="1"/>
  <c r="E15" i="1" s="1"/>
  <c r="E20" i="1" s="1"/>
  <c r="D14" i="1"/>
  <c r="D15" i="1" s="1"/>
  <c r="C14" i="1"/>
  <c r="C15" i="1" s="1"/>
  <c r="D18" i="1"/>
  <c r="C18" i="1"/>
  <c r="A188" i="7"/>
  <c r="C20" i="1" l="1"/>
  <c r="D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7" authorId="0" shapeId="0" xr:uid="{00000000-0006-0000-0300-000004000000}">
      <text>
        <r>
          <rPr>
            <b/>
            <sz val="9"/>
            <color indexed="81"/>
            <rFont val="Tahoma"/>
            <family val="2"/>
          </rPr>
          <t>Author:</t>
        </r>
        <r>
          <rPr>
            <sz val="9"/>
            <color indexed="81"/>
            <rFont val="Tahoma"/>
            <family val="2"/>
          </rPr>
          <t xml:space="preserve">
If multiple doses are given, this assigns a weight to them. Eg 50% on 50mg dose, 50% on 100mg dose. </t>
        </r>
      </text>
    </comment>
    <comment ref="N19" authorId="0" shapeId="0" xr:uid="{00000000-0006-0000-0300-000005000000}">
      <text>
        <r>
          <rPr>
            <b/>
            <sz val="9"/>
            <color indexed="81"/>
            <rFont val="Tahoma"/>
            <family val="2"/>
          </rPr>
          <t>Author:</t>
        </r>
        <r>
          <rPr>
            <sz val="9"/>
            <color indexed="81"/>
            <rFont val="Tahoma"/>
            <family val="2"/>
          </rPr>
          <t xml:space="preserve">
May be capped due to annual treatment / time on treatment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8" authorId="0" shapeId="0" xr:uid="{00000000-0006-0000-0400-000002000000}">
      <text>
        <r>
          <rPr>
            <b/>
            <sz val="9"/>
            <color indexed="81"/>
            <rFont val="Tahoma"/>
            <family val="2"/>
          </rPr>
          <t>Author:</t>
        </r>
        <r>
          <rPr>
            <sz val="9"/>
            <color indexed="81"/>
            <rFont val="Tahoma"/>
            <family val="2"/>
          </rPr>
          <t xml:space="preserve">
Total of 3 comparators with 3 different dosing distributions in each</t>
        </r>
      </text>
    </comment>
    <comment ref="B21" authorId="0" shapeId="0" xr:uid="{00000000-0006-0000-0400-000003000000}">
      <text>
        <r>
          <rPr>
            <b/>
            <sz val="9"/>
            <color indexed="81"/>
            <rFont val="Tahoma"/>
            <family val="2"/>
          </rPr>
          <t>Percentage of comparator 1 used. EG 55% is comparator 1, with 45% comparator 2. 
Or comparator may only apply to 10% of patients in total</t>
        </r>
      </text>
    </comment>
    <comment ref="F25" authorId="0" shapeId="0" xr:uid="{00000000-0006-0000-0400-000004000000}">
      <text>
        <r>
          <rPr>
            <b/>
            <sz val="9"/>
            <color indexed="81"/>
            <rFont val="Tahoma"/>
            <family val="2"/>
          </rPr>
          <t>Author:</t>
        </r>
        <r>
          <rPr>
            <sz val="9"/>
            <color indexed="81"/>
            <rFont val="Tahoma"/>
            <family val="2"/>
          </rPr>
          <t xml:space="preserve">
James Drinkell (NHS Healthcare Improvement Scotland):
If multiple doses are given, this assigns a weight to them. Eg 50% on 50mg dose, 50% on 100mg dose. </t>
        </r>
      </text>
    </comment>
    <comment ref="N27" authorId="0" shapeId="0" xr:uid="{00000000-0006-0000-0400-000005000000}">
      <text>
        <r>
          <rPr>
            <b/>
            <sz val="9"/>
            <color indexed="81"/>
            <rFont val="Tahoma"/>
            <family val="2"/>
          </rPr>
          <t>Author:</t>
        </r>
        <r>
          <rPr>
            <sz val="9"/>
            <color indexed="81"/>
            <rFont val="Tahoma"/>
            <family val="2"/>
          </rPr>
          <t xml:space="preserve">
Author:
May be capped due to annual treatment / time on treatment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8" authorId="0" shapeId="0" xr:uid="{BF5A56D6-5D41-4F35-893F-950A5FE527F4}">
      <text>
        <r>
          <rPr>
            <b/>
            <sz val="9"/>
            <color indexed="81"/>
            <rFont val="Tahoma"/>
            <family val="2"/>
          </rPr>
          <t>Author:</t>
        </r>
        <r>
          <rPr>
            <sz val="9"/>
            <color indexed="81"/>
            <rFont val="Tahoma"/>
            <family val="2"/>
          </rPr>
          <t xml:space="preserve">
Provide source details for prevalence, incidence, mortality and other inputs</t>
        </r>
      </text>
    </comment>
    <comment ref="G8" authorId="0" shapeId="0" xr:uid="{B1B0B7BB-3EC5-4B4C-9B3C-7ADA88368349}">
      <text>
        <r>
          <rPr>
            <b/>
            <sz val="9"/>
            <color indexed="81"/>
            <rFont val="Tahoma"/>
            <family val="2"/>
          </rPr>
          <t>Author:</t>
        </r>
        <r>
          <rPr>
            <sz val="9"/>
            <color indexed="81"/>
            <rFont val="Tahoma"/>
            <family val="2"/>
          </rPr>
          <t xml:space="preserve">
Column header to facilitate any additional details or assumptions used when deriving the prevalence, incidence, mortality, or further inputs for the proposed medicine. 
Aim of this box is to be descriptive, or display simple calculations.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 authorId="0" shapeId="0" xr:uid="{00000000-0006-0000-0600-000001000000}">
      <text>
        <r>
          <rPr>
            <b/>
            <sz val="9"/>
            <color indexed="81"/>
            <rFont val="Tahoma"/>
            <family val="2"/>
          </rPr>
          <t>Author:</t>
        </r>
        <r>
          <rPr>
            <sz val="9"/>
            <color indexed="81"/>
            <rFont val="Tahoma"/>
            <family val="2"/>
          </rPr>
          <t xml:space="preserve">
Percentage of comparator used in comparator arm. </t>
        </r>
      </text>
    </comment>
  </commentList>
</comments>
</file>

<file path=xl/sharedStrings.xml><?xml version="1.0" encoding="utf-8"?>
<sst xmlns="http://schemas.openxmlformats.org/spreadsheetml/2006/main" count="915" uniqueCount="384">
  <si>
    <t>Budget Impact Template: EXAMPLE</t>
  </si>
  <si>
    <t>Generic name:</t>
  </si>
  <si>
    <t>Empagumab</t>
  </si>
  <si>
    <t>Brand name:</t>
  </si>
  <si>
    <t>EXAMPLEBRANDNAME</t>
  </si>
  <si>
    <t>SMC number:</t>
  </si>
  <si>
    <t>SMC123#</t>
  </si>
  <si>
    <t>Indication:</t>
  </si>
  <si>
    <t>Empagumab is for the treatment of…</t>
  </si>
  <si>
    <t>Summary Options</t>
  </si>
  <si>
    <t>[ALL] Scotland population OR regional board (Proportion)</t>
  </si>
  <si>
    <t>All</t>
  </si>
  <si>
    <t>PAS discounts applied?</t>
  </si>
  <si>
    <t>Yes</t>
  </si>
  <si>
    <t>VAT applied (Intervention Arm)?</t>
  </si>
  <si>
    <t>No</t>
  </si>
  <si>
    <t>VAT applied (Comparator Arm)?</t>
  </si>
  <si>
    <t>Consider resource (administration) costs?</t>
  </si>
  <si>
    <t>Proportion of financial year (April - March) Year 1</t>
  </si>
  <si>
    <t xml:space="preserve">April </t>
  </si>
  <si>
    <t>Medicines Budget Impact Summary</t>
  </si>
  <si>
    <t>Year 1</t>
  </si>
  <si>
    <t>Year 2</t>
  </si>
  <si>
    <t>Year 3</t>
  </si>
  <si>
    <t>Estimated patient numbers</t>
  </si>
  <si>
    <t>Medicine cost (per patient)</t>
  </si>
  <si>
    <t>Gross medicines budget impact</t>
  </si>
  <si>
    <t>Comparator(s)</t>
  </si>
  <si>
    <t>Comparator(s) medicine cost (per patient)</t>
  </si>
  <si>
    <t>Net medicines budget impact</t>
  </si>
  <si>
    <t>Gross Proposed BI - Gross Comparator BI</t>
  </si>
  <si>
    <t>Net Budget Impact Summary (Incl. administration costs)</t>
  </si>
  <si>
    <t>Administration costs</t>
  </si>
  <si>
    <t>Comparator intervention</t>
  </si>
  <si>
    <t>Net Total Budget Impact</t>
  </si>
  <si>
    <t>Net medicines budget impact + service gross</t>
  </si>
  <si>
    <t>Proposed intervention</t>
  </si>
  <si>
    <t xml:space="preserve">Empagumab as monotherapy or as an add-on to treatment with tixanib. </t>
  </si>
  <si>
    <t>Brief overview of proposed medicine dosing</t>
  </si>
  <si>
    <t xml:space="preserve">Empagumab is taken orally 3 times a day as monotherapy.  If used as an add-on to tixanib,  tixanib  is adminstered once every 8 weeks. The dose distribution is expected to be 80:20, respectively. </t>
  </si>
  <si>
    <t>Calculation assumptions</t>
  </si>
  <si>
    <t>Text description</t>
  </si>
  <si>
    <t>PAS Discounts (Medicine)</t>
  </si>
  <si>
    <t>Tixanib</t>
  </si>
  <si>
    <t>Drug C</t>
  </si>
  <si>
    <t>Drug D</t>
  </si>
  <si>
    <t>Dosing 1 (distribution)</t>
  </si>
  <si>
    <t>Dose desc.</t>
  </si>
  <si>
    <t>Empagumab monotherapy. 150mg administered 3 times a day.</t>
  </si>
  <si>
    <t>dosing % breakdown applied</t>
  </si>
  <si>
    <t>Medicine Name (multiple rows for comb.)</t>
  </si>
  <si>
    <t>Pack size (unit count)</t>
  </si>
  <si>
    <t>Unit size</t>
  </si>
  <si>
    <t>Units of measurement</t>
  </si>
  <si>
    <t>Cost per pack (List)</t>
  </si>
  <si>
    <t>Unit used per admin dose</t>
  </si>
  <si>
    <t>RDI</t>
  </si>
  <si>
    <t>Cost per administration (List)</t>
  </si>
  <si>
    <t>PAS discount</t>
  </si>
  <si>
    <t>Cost per pack (PAS)</t>
  </si>
  <si>
    <t>Cost per administration (PAS)</t>
  </si>
  <si>
    <t>Length of treatment cycle (days)</t>
  </si>
  <si>
    <t>Administrations per cycle</t>
  </si>
  <si>
    <t>Number of expected cycles per year</t>
  </si>
  <si>
    <t>Maximum number of  administrations per year</t>
  </si>
  <si>
    <t>Cost per year (List)</t>
  </si>
  <si>
    <t>Cost per year (PAS)</t>
  </si>
  <si>
    <t>mg</t>
  </si>
  <si>
    <t>Total (List)</t>
  </si>
  <si>
    <t>Total (PAS)</t>
  </si>
  <si>
    <t>Dosing 2 (distribution)</t>
  </si>
  <si>
    <t xml:space="preserve">Empagumab with add-on to tixanib. 150mg empagumab administered 3 times a day. Tixanib is 1,000 mg adminstration once every 8 weeks. </t>
  </si>
  <si>
    <t>Medicine Name</t>
  </si>
  <si>
    <t>Dosing 3 (distribution)</t>
  </si>
  <si>
    <t>Alternative dose</t>
  </si>
  <si>
    <t>Unit used per admin dose (mg)</t>
  </si>
  <si>
    <t>Total costs (combined dosing)</t>
  </si>
  <si>
    <t>Total (combined dosing) (List)</t>
  </si>
  <si>
    <t>Total (combined dosing) (PAS)</t>
  </si>
  <si>
    <t>Comparator Summary</t>
  </si>
  <si>
    <t>25% of patients are expected to receive dabramab in combination with nivonone. 45% of patients are expected to receive a one-off treatment with pembrolixor. 30% of patients are expected to receive elrananib tablets.</t>
  </si>
  <si>
    <t>Assumes use of the loading and continuation doses for dabramab in combination with nivonone.</t>
  </si>
  <si>
    <t>PAS Discounts</t>
  </si>
  <si>
    <t>Dabramab</t>
  </si>
  <si>
    <t>Nivonone</t>
  </si>
  <si>
    <t>Pembrolixor</t>
  </si>
  <si>
    <t>Elrananib</t>
  </si>
  <si>
    <t>Drug E</t>
  </si>
  <si>
    <t>Drug F</t>
  </si>
  <si>
    <t>COMPARATORS</t>
  </si>
  <si>
    <t>Comparator intervention (1)</t>
  </si>
  <si>
    <t>Description</t>
  </si>
  <si>
    <t>Dabramab in combination with nivonone.</t>
  </si>
  <si>
    <t>% of comparator used in comparator arm</t>
  </si>
  <si>
    <t xml:space="preserve">Dabramab in combination with nivonone. 55% of patients are expected to receive 2,00mg of dabramab in combination with nivonone. 45% of patients are expected to receive 1,000 mg of dabramab in combination with nivonone. </t>
  </si>
  <si>
    <t xml:space="preserve">Dabramab is administered at a dose of 2,000 mg in combination with nivonone/pembrolixor once every 3 weeks (21 days) for 8 cycles, followed by 2,000 mg every 4 weeks as monotherapy.
Nivonone is given at a dose of 1,000 mg/m2 administered on Days 1 and 8 of each 3-week cycle. Mean body surface area is 1.74 m2. </t>
  </si>
  <si>
    <t xml:space="preserve">Dabramab is administered at a dose of 1,000 mg in combination with nivonone/pembrolixor once every 3 weeks (21 days) for 8 cycles, followed by 1,000 mg every 4 weeks as monotherapy.
Nivonone is given at a dose of 1,000 mg/m2 administered on Days 1 and 8 of each 3-week cycle. Mean body surface area is 1.74 m2. </t>
  </si>
  <si>
    <t>Total costs comparator 1 (combined dosing)</t>
  </si>
  <si>
    <t>Total comparator 1 (combined dosing) (List)</t>
  </si>
  <si>
    <t>Total comparator 1 (combined dosing) (PAS)</t>
  </si>
  <si>
    <t>Comparator intervention (2)</t>
  </si>
  <si>
    <t>One-off treatment with pembrolixor</t>
  </si>
  <si>
    <t>A one-off treatment with pembrolixor</t>
  </si>
  <si>
    <t>IU</t>
  </si>
  <si>
    <t>Total costs comparator 2 (combined dosing)</t>
  </si>
  <si>
    <t>Total comparator 2 (combined dosing) (List)</t>
  </si>
  <si>
    <t>Total comparator 2 (combined dosing) (PAS)</t>
  </si>
  <si>
    <t>Comparator intervention (3)</t>
  </si>
  <si>
    <t>Elrananib tablets.</t>
  </si>
  <si>
    <t>Patients are expected to receive either 200mg/500mg elrananib every day or 1000mg twice a day. These are in the distribution of 80:10:10.</t>
  </si>
  <si>
    <t>200 mg daily dose</t>
  </si>
  <si>
    <t>500mg daily dose</t>
  </si>
  <si>
    <t>1000mg dose twice a day</t>
  </si>
  <si>
    <t>Total costs comparator 3 (combined dosing)</t>
  </si>
  <si>
    <t>Total comparator 3 (combined dosing) (List)</t>
  </si>
  <si>
    <t>Total comparator 3 (combined dosing) (PAS)</t>
  </si>
  <si>
    <t>Comparator intervention (4)</t>
  </si>
  <si>
    <t>Total costs comparator 4 (combined dosing)</t>
  </si>
  <si>
    <t>Total comparator 4 (combined dosing) (List)</t>
  </si>
  <si>
    <t>Total comparator 4 (combined dosing) (PAS)</t>
  </si>
  <si>
    <t>Total comparator costs</t>
  </si>
  <si>
    <t>Total comparator costs (List)</t>
  </si>
  <si>
    <t>Total comparator costs (PAS)</t>
  </si>
  <si>
    <t xml:space="preserve">Population </t>
  </si>
  <si>
    <t>Scottish Population (2022)</t>
  </si>
  <si>
    <t>Year</t>
  </si>
  <si>
    <t>Source</t>
  </si>
  <si>
    <t>Prevalence and incidence</t>
  </si>
  <si>
    <t xml:space="preserve">Prevalent patients </t>
  </si>
  <si>
    <t>Reference paper or assumption</t>
  </si>
  <si>
    <t>Described calculation to obtain  prevalent patients in year 1 onwards</t>
  </si>
  <si>
    <t xml:space="preserve">Incident patients </t>
  </si>
  <si>
    <t>Described calculation to obtain incidence patients over the years 1 to 3.</t>
  </si>
  <si>
    <t xml:space="preserve">Estimated number of patients with the condition </t>
  </si>
  <si>
    <t>Mortality</t>
  </si>
  <si>
    <t>Mortality rate of patient cohort with the condition</t>
  </si>
  <si>
    <t xml:space="preserve">Description of the calculation or source to describe the mortality rate of 10%. </t>
  </si>
  <si>
    <t>Net number of patients with the condition</t>
  </si>
  <si>
    <t>Licence - eligible patient population</t>
  </si>
  <si>
    <t>Proportion of patient cohort with the condition treatable under the licence (eligible patients)</t>
  </si>
  <si>
    <t>Description of the 80% restricted use  to a particular group within the disease area as a whole.</t>
  </si>
  <si>
    <t>Potential number of eligible patients treated each year in licence</t>
  </si>
  <si>
    <t>Sub-population</t>
  </si>
  <si>
    <t>Sub-population of eligible patient cohort (%)</t>
  </si>
  <si>
    <t xml:space="preserve">Description of if a specific sub-population of patients is required. </t>
  </si>
  <si>
    <t>Potential number of eligible patients treated each year in sub-set</t>
  </si>
  <si>
    <t>Proportion of eligible treated with new medicine</t>
  </si>
  <si>
    <t>Anticipated market share for new intervention (%) (Proportion of eligible treated with new medicine)</t>
  </si>
  <si>
    <t xml:space="preserve">Description of the 25% figure used to define those treated with the new medicine. </t>
  </si>
  <si>
    <t xml:space="preserve">Potential number of patients eligible treated with new intervention </t>
  </si>
  <si>
    <t>Discontinuation</t>
  </si>
  <si>
    <t>Discontinuation rate (%)</t>
  </si>
  <si>
    <t xml:space="preserve">Description of calculation suggest a 0% annual discontinuation rate. </t>
  </si>
  <si>
    <t xml:space="preserve">Net number of patients treated with new intervention </t>
  </si>
  <si>
    <t>Intervention</t>
  </si>
  <si>
    <t>Comparator (1)</t>
  </si>
  <si>
    <t>Comparator (2)</t>
  </si>
  <si>
    <t>Comparator (3)</t>
  </si>
  <si>
    <t>Comparator (4)</t>
  </si>
  <si>
    <t>Name</t>
  </si>
  <si>
    <t>NA</t>
  </si>
  <si>
    <t>Administration type</t>
  </si>
  <si>
    <t>Cost per admin</t>
  </si>
  <si>
    <t>Annual frequency</t>
  </si>
  <si>
    <t>Text</t>
  </si>
  <si>
    <t>IV</t>
  </si>
  <si>
    <t>One-off admin</t>
  </si>
  <si>
    <t>Soruce</t>
  </si>
  <si>
    <t>Annual total administration costs</t>
  </si>
  <si>
    <t>Additional notes on service/resource costs</t>
  </si>
  <si>
    <t xml:space="preserve">Option for text descriptive paragraph of service impact. Can provide descriptive text here. </t>
  </si>
  <si>
    <t>Annual administration costs</t>
  </si>
  <si>
    <t>Total (intervention)</t>
  </si>
  <si>
    <t>Total (comparator)</t>
  </si>
  <si>
    <t>Colour Coding of Cells</t>
  </si>
  <si>
    <t>Colour</t>
  </si>
  <si>
    <t>Notes</t>
  </si>
  <si>
    <t>Blue</t>
  </si>
  <si>
    <t>Input cells. Contain a value for company input. (TEXT in these cells is currently in red for demonstration purposes).</t>
  </si>
  <si>
    <t>Grey</t>
  </si>
  <si>
    <t xml:space="preserve">Naming or heading cells </t>
  </si>
  <si>
    <t>Key guidance notes</t>
  </si>
  <si>
    <t xml:space="preserve">Summary tab </t>
  </si>
  <si>
    <t>Cell(s)</t>
  </si>
  <si>
    <t>B4</t>
  </si>
  <si>
    <t>[ALL] Scotland (OR USER) population / Regional board (Proportion)</t>
  </si>
  <si>
    <t>Select “all” population to use the patient population derived from the Scotland population or select a regional board to scale this figure and the estimated patient numbers.</t>
  </si>
  <si>
    <t>B5</t>
  </si>
  <si>
    <t>Applies the PAS discounts to the intervention and comparator medicines. This acts to lookup the per patient list price results or the PAS price results.</t>
  </si>
  <si>
    <t>B6</t>
  </si>
  <si>
    <t>VAT applied (Intervention arm)?</t>
  </si>
  <si>
    <t>Applies a 20% VAT. This is a simple operator and applies to ALL medicine costs in the model's proposed intervention arm.</t>
  </si>
  <si>
    <t>B7</t>
  </si>
  <si>
    <t>VAT applied (Comparator arm)?</t>
  </si>
  <si>
    <t>Applies a 20% VAT. This is a simple operator and applies to ALL medicine costs in the model's proposed comparator arm.</t>
  </si>
  <si>
    <t>B8</t>
  </si>
  <si>
    <t>Will include the resource (administration only) costs and show this in the relevant cells and net total budget impact.</t>
  </si>
  <si>
    <t>B9</t>
  </si>
  <si>
    <t>Proportion of financial year (April - March)</t>
  </si>
  <si>
    <t xml:space="preserve">Allows user to select a starting month for the product launch. This will adjust the Year 1 budget impact, by scaling to a proportion of the remaining financial year (April to March). </t>
  </si>
  <si>
    <t>A13, A17, A24, A25</t>
  </si>
  <si>
    <t>Proposed intervention and comparator name</t>
  </si>
  <si>
    <t xml:space="preserve">Allows user to type text descriptions of the medicine or comparator names (if wanted). </t>
  </si>
  <si>
    <t>Input - Medicine cost (Proposed) tab</t>
  </si>
  <si>
    <t>B3</t>
  </si>
  <si>
    <t>A text description of the proposed intervention</t>
  </si>
  <si>
    <t>Text description for additional detail on medicine dosing.</t>
  </si>
  <si>
    <t>Space to add calculation assumptions, if needed.</t>
  </si>
  <si>
    <t>A10:A13</t>
  </si>
  <si>
    <t>Medicine names</t>
  </si>
  <si>
    <t>Names of the medicines to be used in the proposed intervention. Retain all names as typed here, throughout this tab, as lookup formulae depend on consistent naming.</t>
  </si>
  <si>
    <t>B10:B13</t>
  </si>
  <si>
    <t>PAS discount %</t>
  </si>
  <si>
    <t>Input PAS discount as a percentage.</t>
  </si>
  <si>
    <t>C17, C31, C45</t>
  </si>
  <si>
    <t>Dose description</t>
  </si>
  <si>
    <t>A text description of the dosing for each dose in the dose distribution.</t>
  </si>
  <si>
    <t>F17, E31, E45</t>
  </si>
  <si>
    <t>Dosing % breakdown applied</t>
  </si>
  <si>
    <t>The intervention may be subject to a dose distribution.</t>
  </si>
  <si>
    <t>For example, a medicine may have patients grouped into a daily 15 mg, 60 mg, and 95mg doses in a distribution of 65:30:5.</t>
  </si>
  <si>
    <t>In this case, F17 would be set to 65%, E31 to 30% and E45 to 5%. This would then allow for the different doses to be modelled in the respective cells beneath each dose.</t>
  </si>
  <si>
    <t xml:space="preserve">The following describes the inputs for the first doing distribution. If there are more doses in the distribution, the same instructions can be applied the relevant cells in the template.  </t>
  </si>
  <si>
    <t>A20:A26</t>
  </si>
  <si>
    <t>Medicine Names</t>
  </si>
  <si>
    <t>Text input for medicine names. Must match the name inputs in A10:A13.</t>
  </si>
  <si>
    <t>B20:B26</t>
  </si>
  <si>
    <t>Pack size of the medicine used. This is the defined amount of unit count in the medicine. For example, 30 tablets, or 1 vial. This corresponds to the ‘size’ quantity defined on the BNF.</t>
  </si>
  <si>
    <t>C20:C26</t>
  </si>
  <si>
    <t>The unit size of the medicine in the pack, measured in the units of measurement. For example, a 30mg tablet would define this value as 30.</t>
  </si>
  <si>
    <t>D20:D26</t>
  </si>
  <si>
    <t>Drop down menu to select the units of measurement</t>
  </si>
  <si>
    <t>E20:E26</t>
  </si>
  <si>
    <t>Cost per pack (list)</t>
  </si>
  <si>
    <t>The list price for each medicine pack.</t>
  </si>
  <si>
    <t>F20:F26</t>
  </si>
  <si>
    <t>The units used per administration. For example, the medicine may be provided as 30 mg tablets, but each administration is 60mg.</t>
  </si>
  <si>
    <t>G20:G26</t>
  </si>
  <si>
    <t>RDI (relative dose intensity)</t>
  </si>
  <si>
    <t>An input for relative dose intensity. For example if the RDI is 70%, this will scale calculated drug costs by 70%. This is applied to units used per admin.</t>
  </si>
  <si>
    <t>L20:L26</t>
  </si>
  <si>
    <t>The defined treatment cycle in days. For example, if a treatment is given in a 3 week cycle, this value is 21.</t>
  </si>
  <si>
    <t>M20:M26</t>
  </si>
  <si>
    <t>The number of administrations per cycle. For example, in a 3 week cycle, the administered dose may be given on Day 1 and 15, which would define this value as 2.</t>
  </si>
  <si>
    <t>N20:N26</t>
  </si>
  <si>
    <t xml:space="preserve">Defined expected number of cycles in a year. For example there may be 5 expected 3 week treatment cycles in the year. </t>
  </si>
  <si>
    <t>Additional note: When inputting length of treatment cycle (days), administrations per cycle , and number of expected cycles per year there is some degree of flexibility here to attempt to accommodate various options. 
For example, if a treatment is administered every day then this could be denoted as follows if using a daily treatment cycle: length of treatment cycle ( 1 day), administrations per cycle (1 administration), expected number of cycles per year (365). Alternatively, this could be denoted as follows if considering a weekly treatment cycle: length of treatment cycle (7 days), administration per cycle (7 administration), expected number of cycles per year (52.14 weeks). These alternatives would generate the same number of expected administrations per year (365).
As a second example, a one-off treatment could be defined using: length of treatment cycle ( 1 day), administrations per cycle (1 administration), expected number of cycles per year (1). This would then be applied to a defined annual prevalent patient count, and would account for the one-off costs for the patient cohort in each year. 
As a third example, a treatment plan that includes a loading dose could be estimated through a selection of approaches. 
For example, a medicine given once every 30 days  with 2 separate loading doses of 100mg and then an ongoing 200mg once every 30 days could be estimated using the following potential approaches;  
	• Using a weighted average approach. This would use 200mg units per admin and a length of treatment cycle ( 30 day), administrations per cycle (1 administration), expected number of cycles per year (11). 
	• Using continuation dose only. This would use 200mg units per admin and a length of treatment cycle ( 30 day), administrations per cycle (1 administration), expected number of cycles per year (12). 
	• Using the loading and continuation doses. This would use two lines in the medicine inputs which would define: the first line of 100mg units per admin and a length of treatment cycle (30 days), administrations per cycle (1 administration), expected number of cycles per year (2); the second line of 200mg units per admin and a length of treatment cycle (30 days), administrations per cycle (1 administration), expected number of cycles per year (10).  
Any assumptions of this kind can be noted in the provided text descriptions. This is a simplification, but is in place as to fully account for the loading and post-loading annual costs applicable to the appropriate set of prevalence or incidence patients in  Years 1, 2 and 3 would introduce greater complexity.</t>
  </si>
  <si>
    <t>Input - Medicine cost (Comparator)</t>
  </si>
  <si>
    <t>Proposed comparators</t>
  </si>
  <si>
    <t xml:space="preserve">A summary text description of the proposed comparators. </t>
  </si>
  <si>
    <t>A8:A13</t>
  </si>
  <si>
    <t>Names of the medicines to be used. Retain all names as typed here, throughout this tab, as lookup formulae depend on consistent naming.</t>
  </si>
  <si>
    <t>B8:B13</t>
  </si>
  <si>
    <t>Input PAS discounts as a percentage. The submitting company is not expected to know the PAS discounts for comparators (unless they are the manufacturer). This can be set at 0% if unknown.</t>
  </si>
  <si>
    <t>B19, B71, B123, B175</t>
  </si>
  <si>
    <t>Comparator description.</t>
  </si>
  <si>
    <t>A text description of each comparator.</t>
  </si>
  <si>
    <t>B21, B73, B125, B177</t>
  </si>
  <si>
    <t>Percentage of comparator treatment used in comparator arm</t>
  </si>
  <si>
    <t>There are 4 comparators that can be used in the comparator tab. These allow for defining a percentage of their use. For example, if four comparator regimens are present A, B, C, and D, with a distribution of 50:40:10:0 the inputs for these cells would be 50%, 40%,  10%, and 0%.</t>
  </si>
  <si>
    <t>B23, B75, B127, B179</t>
  </si>
  <si>
    <t>Brief overview of proposed medicine dosing. Can be used to describe the dosing distribution for each comparator.</t>
  </si>
  <si>
    <t xml:space="preserve">The following describes the inputs for the first comparator. If there are more comparators, the same instructions can be applied the relevant cells in the template.  </t>
  </si>
  <si>
    <t>C25, C38, C51</t>
  </si>
  <si>
    <t>A text description of the dosing for each dose in the distribution.</t>
  </si>
  <si>
    <t>F25, F38, F51.</t>
  </si>
  <si>
    <t>In this case, F25 would be set to 65%, F38 to 30% and F51 to 5%. This would then allow for the different doses to be modelled in the respective cells beneath each dose.</t>
  </si>
  <si>
    <t xml:space="preserve">The following describes the inputs for the first doing distribution in the first comparator. If there are more doses in the distribution for the first comparator, the same instructions can be applied the relevant cells in the template.  </t>
  </si>
  <si>
    <t>A28:A34</t>
  </si>
  <si>
    <t>Text input for medicine names. Must match the name inputs in A6:A9.</t>
  </si>
  <si>
    <t>B28:B24</t>
  </si>
  <si>
    <t>C28:C34</t>
  </si>
  <si>
    <t>D28:D34</t>
  </si>
  <si>
    <t>E28:E34</t>
  </si>
  <si>
    <t>F28:F34</t>
  </si>
  <si>
    <t>G28:G34</t>
  </si>
  <si>
    <t>An input for relative dose intensity. For example if the RDI is 70%, this will scale calculated drug costs by 70%.</t>
  </si>
  <si>
    <t>L28:L34</t>
  </si>
  <si>
    <t>M28:M34</t>
  </si>
  <si>
    <t>The number of administrations per cycle. For example, in a 3 week cycle, the administered dose may be given on Day 1and 15, which would define this value as 2.</t>
  </si>
  <si>
    <t>N28:N34</t>
  </si>
  <si>
    <t>Input - Patient numbers</t>
  </si>
  <si>
    <t>F10:F26</t>
  </si>
  <si>
    <t>Source/reference for input figures</t>
  </si>
  <si>
    <t>G10:G26</t>
  </si>
  <si>
    <t>Descriptive space for calculation assumptions</t>
  </si>
  <si>
    <t>B10:D10</t>
  </si>
  <si>
    <t>Prevalent patients</t>
  </si>
  <si>
    <t xml:space="preserve">Input for prevalent patients for each year. There should be a clear description in the adjacent source and calculation text boxes to describe the derivation of these figures and their data sources, or any assumptions included. For example, a treatment may extend into year 2, and year 1 incidence patients may "roll-over" into the prevalent population of year 2. Alternatively a treatment may be a "one-off" and year 1 incidence patients may not continue into successive years. </t>
  </si>
  <si>
    <t>B11:D11</t>
  </si>
  <si>
    <t>Incident patients</t>
  </si>
  <si>
    <t>Input for incident patients for each year. There should be a clear description in the adjacent source and calculation text boxes to describe the derivation of these figures and their data sources, or any assumptions included. For example, a treatment may extend into year 2, and year 1 incidence patients may "roll-over" into the prevalent population of year 2. Alternatively a treatment may be a "one-off" and year 1 incidence patients may not continue into successive years. 
Prevalent and incident patients are added together to give the "estimated number of patients with the condition".</t>
  </si>
  <si>
    <t>B14:D14</t>
  </si>
  <si>
    <t>Disease annual mortality (condition) applied to the estimated number of patients with the condition. This can be inputted for each year. Insert the estimated mortality rate as a percent per annum of the patient cohort with the condition.
It is important not to double count mortality if this has been taken into account in calculation of prevalence and incidence above. If the mortality rate is not known or is not significant, leave blank (0%).</t>
  </si>
  <si>
    <t>B17:D17</t>
  </si>
  <si>
    <t>New medicines often have licences that restrict their use to a particular group within the disease area as a whole.</t>
  </si>
  <si>
    <t>Insert the estimated proportion of the disease area that will be treatable under the licence as a percentage for each year.</t>
  </si>
  <si>
    <t>It is important not to double count if this has been taken into account previously in the calculation of the patient population with the condition.</t>
  </si>
  <si>
    <t>B20:D20</t>
  </si>
  <si>
    <t xml:space="preserve">New medicines are often positioned by the manufacturer for a specific sub-population of patients narrower than that covered by the licence. </t>
  </si>
  <si>
    <t>Insert the estimated proportion of the eligible patient population that will be treatable in the sub-population as a percentage for each year.</t>
  </si>
  <si>
    <t>It is important not to double count if this has been taken into account previously in the calculation of the eligible population.</t>
  </si>
  <si>
    <t>B23:D23</t>
  </si>
  <si>
    <t>It is unlikely that all patients will be treated with the new medicine due to competing products/market penetration and rate of change of established clinical practice.</t>
  </si>
  <si>
    <t>Insert your estimate of the share of eligible patients that will be treated with the new medicine as a percentage for each year.</t>
  </si>
  <si>
    <t>If the submission is for a sub-population of the licence enter the population of the sub-population that will be treated with the new medicine.</t>
  </si>
  <si>
    <t xml:space="preserve">The “Anticipated market share for new intervention (%) (proportion of eligible treated with new medicine)” in the patient numbers tab is there to apply a % to the patient numbers to determine the number eligible for the new treatment (or by extension, would have been eligible for the comparator basket). It does not interact with the   ‘% of comparator used in comparator arm’ values of the comparator input tab. </t>
  </si>
  <si>
    <t>B26:D26</t>
  </si>
  <si>
    <t>Insert the discontinuation rate as a percentage of patients treated with the new medicine for each year.</t>
  </si>
  <si>
    <t>It is important not to double count discontinuation rates if these have been taken into account in calculations above.</t>
  </si>
  <si>
    <t>If the discontinuation rate is not known or is not significant, leave blank (0%).</t>
  </si>
  <si>
    <t xml:space="preserve">Input – Service Resource Other </t>
  </si>
  <si>
    <t>Name – Intervention</t>
  </si>
  <si>
    <t>Text input for name of proposed intervention.</t>
  </si>
  <si>
    <t>A9:A10</t>
  </si>
  <si>
    <t>Name – administration type</t>
  </si>
  <si>
    <t>Naming cell for administration method for main intervention.</t>
  </si>
  <si>
    <t>B9:B10</t>
  </si>
  <si>
    <t>Unit cost input for administration method for proposed intervention.</t>
  </si>
  <si>
    <t>C9:C10</t>
  </si>
  <si>
    <t>Annual frequency inputs for administration methods.</t>
  </si>
  <si>
    <t>D9:D10</t>
  </si>
  <si>
    <t>Text input for source of administration costs and annual frequencies.</t>
  </si>
  <si>
    <t>B14</t>
  </si>
  <si>
    <t>Additional textbox to detail any further service/resource impact of the proposed medicine.</t>
  </si>
  <si>
    <t xml:space="preserve">The following describes the administration inputs for the first comparator. If there are more comparators, the same instructions can be applied the relevant cells in the template.  </t>
  </si>
  <si>
    <t>G6</t>
  </si>
  <si>
    <t>Name – Comparator</t>
  </si>
  <si>
    <t>Text input for name of comparator intervention.</t>
  </si>
  <si>
    <t>I6</t>
  </si>
  <si>
    <t>% of comparator treatment used in comparator arm</t>
  </si>
  <si>
    <t>Input to show the percentage of the comparator used in the comparator arm. There are 4 comparators that can be used in the comparator tab in total. These allow for defining a percentage of their use. For example, if four comparator regimens are present A, B, C, and D, with a distribution of 50:40:10:0 the inputs for these cells would be 50%, 40%,  10%, and 0%. This cell would input as 50%</t>
  </si>
  <si>
    <t>F9:F10</t>
  </si>
  <si>
    <t>Naming cell for administration method for comparator 1.</t>
  </si>
  <si>
    <t>G9:G10</t>
  </si>
  <si>
    <t xml:space="preserve">Unit cost input for administration method for comparator 1.  </t>
  </si>
  <si>
    <t>H9:H10</t>
  </si>
  <si>
    <t>I9:I10</t>
  </si>
  <si>
    <t xml:space="preserve">Proportion </t>
  </si>
  <si>
    <t xml:space="preserve">Year </t>
  </si>
  <si>
    <t xml:space="preserve">Age </t>
  </si>
  <si>
    <t>SCOTLAND</t>
  </si>
  <si>
    <t>NHS Ayrshire &amp; Arran</t>
  </si>
  <si>
    <t>NHS Borders</t>
  </si>
  <si>
    <t>NHS Dumfries &amp; Galloway</t>
  </si>
  <si>
    <t>NHS Fife</t>
  </si>
  <si>
    <t>NHS Forth Valley</t>
  </si>
  <si>
    <t>NHS Grampian</t>
  </si>
  <si>
    <t>NHS Greater Glasgow &amp; Clyde</t>
  </si>
  <si>
    <t>NHS Highland</t>
  </si>
  <si>
    <t>NHS Lanarkshire</t>
  </si>
  <si>
    <t>NHS Lothian</t>
  </si>
  <si>
    <t>NHS Orkney</t>
  </si>
  <si>
    <t>NHS Shetland</t>
  </si>
  <si>
    <t>NHS Tayside</t>
  </si>
  <si>
    <t>NHS Western Isles</t>
  </si>
  <si>
    <t>Annual</t>
  </si>
  <si>
    <t>Prop. Financial year</t>
  </si>
  <si>
    <t>Units</t>
  </si>
  <si>
    <t>Pas</t>
  </si>
  <si>
    <t>Combined Intervention costs (list)</t>
  </si>
  <si>
    <t>milligram</t>
  </si>
  <si>
    <t>Combined Intervention costs (pas)</t>
  </si>
  <si>
    <t>May</t>
  </si>
  <si>
    <t>international unit</t>
  </si>
  <si>
    <t>June</t>
  </si>
  <si>
    <t>μg</t>
  </si>
  <si>
    <t>microgram</t>
  </si>
  <si>
    <t>July</t>
  </si>
  <si>
    <t>mL</t>
  </si>
  <si>
    <t>millilitre</t>
  </si>
  <si>
    <t>PAS</t>
  </si>
  <si>
    <t>Combined comparator costs (list)</t>
  </si>
  <si>
    <t>August</t>
  </si>
  <si>
    <t>g</t>
  </si>
  <si>
    <t>gram</t>
  </si>
  <si>
    <t>Combined comparator costs (PAS)</t>
  </si>
  <si>
    <t>September</t>
  </si>
  <si>
    <t>October</t>
  </si>
  <si>
    <t>November</t>
  </si>
  <si>
    <t>December</t>
  </si>
  <si>
    <t>January</t>
  </si>
  <si>
    <t>February</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</si>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</sst>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font>
      <sz val="11"/>
      <color theme="1"/>
      <name val="Calibri"/>
      <family val="2"/>
      <scheme val="minor"/>
    </font>
    <font>
      <sz val="11"/>
      <color theme="0"/>
      <name val="Calibri"/>
      <family val="2"/>
      <scheme val="minor"/>
    </font>
    <font>
      <b/>
      <sz val="10"/>
      <name val="Arial"/>
      <family val="2"/>
    </font>
    <font>
      <sz val="10"/>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u/>
      <sz val="11"/>
      <color theme="1"/>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10"/>
      <color theme="1"/>
      <name val="Arial"/>
      <family val="2"/>
    </font>
    <font>
      <b/>
      <sz val="11"/>
      <color rgb="FF000000"/>
      <name val="Calibri"/>
      <family val="2"/>
      <scheme val="minor"/>
    </font>
    <font>
      <b/>
      <sz val="14"/>
      <color theme="1"/>
      <name val="Calibri"/>
      <family val="2"/>
      <scheme val="minor"/>
    </font>
    <font>
      <b/>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602365"/>
        <bgColor indexed="64"/>
      </patternFill>
    </fill>
    <fill>
      <patternFill patternType="solid">
        <fgColor rgb="FFB9DFF6"/>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24">
    <xf numFmtId="0" fontId="0" fillId="0" borderId="0" xfId="0"/>
    <xf numFmtId="0" fontId="4" fillId="0" borderId="0" xfId="0" applyFont="1"/>
    <xf numFmtId="0" fontId="5" fillId="0" borderId="0" xfId="0" applyFont="1"/>
    <xf numFmtId="0" fontId="6" fillId="0" borderId="0" xfId="0" applyFont="1"/>
    <xf numFmtId="0" fontId="0" fillId="0" borderId="7" xfId="0" applyBorder="1" applyAlignment="1">
      <alignment vertical="center" wrapText="1"/>
    </xf>
    <xf numFmtId="0" fontId="0" fillId="0" borderId="4" xfId="0" applyBorder="1" applyAlignment="1">
      <alignmen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2" borderId="0" xfId="0" applyFill="1"/>
    <xf numFmtId="0" fontId="1" fillId="2" borderId="0" xfId="0" applyFont="1" applyFill="1"/>
    <xf numFmtId="0" fontId="0" fillId="4" borderId="0" xfId="0" applyFill="1"/>
    <xf numFmtId="0" fontId="10" fillId="2" borderId="0" xfId="0" applyFont="1" applyFill="1"/>
    <xf numFmtId="0" fontId="5" fillId="2" borderId="1" xfId="0" applyFont="1" applyFill="1" applyBorder="1"/>
    <xf numFmtId="0" fontId="0" fillId="4" borderId="1" xfId="0" applyFill="1" applyBorder="1"/>
    <xf numFmtId="0" fontId="0" fillId="0" borderId="15" xfId="0" applyBorder="1"/>
    <xf numFmtId="0" fontId="5" fillId="2" borderId="2" xfId="0" applyFont="1" applyFill="1" applyBorder="1"/>
    <xf numFmtId="0" fontId="5" fillId="0" borderId="1" xfId="0" applyFont="1" applyBorder="1"/>
    <xf numFmtId="0" fontId="1" fillId="3" borderId="0" xfId="0" applyFont="1" applyFill="1"/>
    <xf numFmtId="0" fontId="0" fillId="0" borderId="12" xfId="0" applyBorder="1"/>
    <xf numFmtId="0" fontId="0" fillId="0" borderId="20" xfId="0" applyBorder="1"/>
    <xf numFmtId="0" fontId="10" fillId="0" borderId="0" xfId="0" applyFont="1"/>
    <xf numFmtId="0" fontId="5" fillId="2" borderId="1" xfId="0" applyFont="1" applyFill="1" applyBorder="1" applyAlignment="1">
      <alignment horizontal="left" vertical="center" wrapText="1"/>
    </xf>
    <xf numFmtId="0" fontId="0" fillId="0" borderId="18" xfId="0" applyBorder="1"/>
    <xf numFmtId="0" fontId="0" fillId="0" borderId="19" xfId="0" applyBorder="1"/>
    <xf numFmtId="0" fontId="0" fillId="0" borderId="17" xfId="0" applyBorder="1"/>
    <xf numFmtId="0" fontId="1" fillId="0" borderId="0" xfId="0" applyFont="1"/>
    <xf numFmtId="0" fontId="6" fillId="0" borderId="1" xfId="0" applyFont="1" applyBorder="1"/>
    <xf numFmtId="0" fontId="6" fillId="2" borderId="1" xfId="0" applyFont="1" applyFill="1" applyBorder="1"/>
    <xf numFmtId="0" fontId="1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5" fillId="2" borderId="5" xfId="0" applyFont="1" applyFill="1" applyBorder="1" applyAlignment="1">
      <alignment vertical="center" wrapText="1"/>
    </xf>
    <xf numFmtId="0" fontId="5" fillId="2" borderId="6" xfId="0" applyFont="1" applyFill="1" applyBorder="1" applyAlignment="1">
      <alignment vertical="center" wrapText="1"/>
    </xf>
    <xf numFmtId="0" fontId="0" fillId="2" borderId="0" xfId="0" applyFill="1" applyAlignment="1">
      <alignment vertical="top"/>
    </xf>
    <xf numFmtId="0" fontId="0" fillId="2" borderId="0" xfId="0" applyFill="1" applyAlignment="1">
      <alignment horizontal="left" vertical="center"/>
    </xf>
    <xf numFmtId="0" fontId="1" fillId="0" borderId="0" xfId="0" applyFont="1" applyAlignment="1">
      <alignment horizontal="center"/>
    </xf>
    <xf numFmtId="0" fontId="0" fillId="0" borderId="1" xfId="0" applyBorder="1" applyAlignment="1">
      <alignment horizontal="center"/>
    </xf>
    <xf numFmtId="3" fontId="2" fillId="0" borderId="1" xfId="0" applyNumberFormat="1" applyFont="1" applyBorder="1" applyAlignment="1">
      <alignment horizontal="center"/>
    </xf>
    <xf numFmtId="3" fontId="3" fillId="0" borderId="1" xfId="0" applyNumberFormat="1" applyFont="1" applyBorder="1" applyAlignment="1">
      <alignment horizontal="center"/>
    </xf>
    <xf numFmtId="0" fontId="0" fillId="0" borderId="0" xfId="0" applyAlignment="1">
      <alignment horizontal="center"/>
    </xf>
    <xf numFmtId="3" fontId="2" fillId="0" borderId="0" xfId="0" applyNumberFormat="1" applyFont="1" applyAlignment="1">
      <alignment horizontal="center"/>
    </xf>
    <xf numFmtId="3" fontId="3" fillId="0" borderId="0" xfId="0" applyNumberFormat="1" applyFont="1" applyAlignment="1">
      <alignment horizontal="center"/>
    </xf>
    <xf numFmtId="0" fontId="0" fillId="0" borderId="22" xfId="0" applyBorder="1" applyAlignment="1">
      <alignment horizontal="center"/>
    </xf>
    <xf numFmtId="3" fontId="17" fillId="2" borderId="2" xfId="0" applyNumberFormat="1" applyFont="1" applyFill="1" applyBorder="1" applyAlignment="1">
      <alignment horizontal="center"/>
    </xf>
    <xf numFmtId="3" fontId="14" fillId="2" borderId="2" xfId="0" applyNumberFormat="1" applyFont="1" applyFill="1" applyBorder="1" applyAlignment="1">
      <alignment horizontal="center"/>
    </xf>
    <xf numFmtId="0" fontId="0" fillId="4" borderId="1" xfId="0" applyFill="1" applyBorder="1" applyProtection="1">
      <protection locked="0"/>
    </xf>
    <xf numFmtId="0" fontId="13" fillId="3" borderId="0" xfId="0" applyFont="1" applyFill="1"/>
    <xf numFmtId="0" fontId="0" fillId="0" borderId="1"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3" borderId="0" xfId="0" applyFill="1"/>
    <xf numFmtId="0" fontId="5" fillId="2" borderId="1" xfId="0" applyFont="1" applyFill="1" applyBorder="1" applyAlignment="1">
      <alignment horizontal="left" vertical="center"/>
    </xf>
    <xf numFmtId="0" fontId="7" fillId="0" borderId="0" xfId="0" applyFont="1"/>
    <xf numFmtId="10" fontId="0" fillId="0" borderId="0" xfId="0" applyNumberFormat="1"/>
    <xf numFmtId="10" fontId="4" fillId="0" borderId="12" xfId="0" applyNumberFormat="1" applyFont="1" applyBorder="1"/>
    <xf numFmtId="0" fontId="5" fillId="0" borderId="10" xfId="0" applyFont="1" applyBorder="1"/>
    <xf numFmtId="0" fontId="5" fillId="0" borderId="15" xfId="0" applyFont="1" applyBorder="1"/>
    <xf numFmtId="0" fontId="0" fillId="0" borderId="16" xfId="0" applyBorder="1"/>
    <xf numFmtId="10" fontId="0" fillId="4" borderId="1" xfId="0" applyNumberFormat="1" applyFill="1" applyBorder="1" applyProtection="1">
      <protection locked="0"/>
    </xf>
    <xf numFmtId="0" fontId="14" fillId="0" borderId="1" xfId="0" applyFont="1" applyBorder="1"/>
    <xf numFmtId="0" fontId="5" fillId="2" borderId="21" xfId="0" applyFont="1" applyFill="1" applyBorder="1" applyAlignment="1">
      <alignment horizontal="left" vertical="center"/>
    </xf>
    <xf numFmtId="0" fontId="11" fillId="0" borderId="0" xfId="0" applyFont="1"/>
    <xf numFmtId="0" fontId="5" fillId="2" borderId="0" xfId="0" applyFont="1" applyFill="1"/>
    <xf numFmtId="10" fontId="4" fillId="0" borderId="0" xfId="0" applyNumberFormat="1" applyFont="1"/>
    <xf numFmtId="10" fontId="4" fillId="0" borderId="14" xfId="0" applyNumberFormat="1" applyFont="1" applyBorder="1"/>
    <xf numFmtId="0" fontId="7" fillId="0" borderId="1" xfId="0" applyFont="1" applyBorder="1"/>
    <xf numFmtId="10" fontId="0" fillId="0" borderId="12" xfId="0" applyNumberFormat="1" applyBorder="1"/>
    <xf numFmtId="0" fontId="4" fillId="0" borderId="20" xfId="0" applyFont="1" applyBorder="1"/>
    <xf numFmtId="0" fontId="0" fillId="4" borderId="0" xfId="0" applyFill="1" applyProtection="1">
      <protection locked="0"/>
    </xf>
    <xf numFmtId="10" fontId="5" fillId="4" borderId="1" xfId="0" applyNumberFormat="1" applyFont="1" applyFill="1" applyBorder="1" applyProtection="1">
      <protection locked="0"/>
    </xf>
    <xf numFmtId="0" fontId="5" fillId="0" borderId="20" xfId="0" applyFont="1" applyBorder="1"/>
    <xf numFmtId="0" fontId="6" fillId="0" borderId="23" xfId="0" applyFont="1" applyBorder="1" applyAlignment="1">
      <alignment vertical="center" wrapText="1"/>
    </xf>
    <xf numFmtId="0" fontId="0" fillId="5" borderId="24" xfId="0" applyFill="1" applyBorder="1" applyAlignment="1">
      <alignment vertical="center" wrapText="1"/>
    </xf>
    <xf numFmtId="0" fontId="6" fillId="5" borderId="1" xfId="0" applyFont="1" applyFill="1" applyBorder="1" applyAlignment="1">
      <alignment vertical="center" wrapText="1"/>
    </xf>
    <xf numFmtId="0" fontId="7" fillId="2" borderId="1" xfId="0" applyFont="1" applyFill="1" applyBorder="1" applyAlignment="1">
      <alignment vertical="center" wrapText="1"/>
    </xf>
    <xf numFmtId="0" fontId="5" fillId="2" borderId="18" xfId="0" applyFont="1" applyFill="1" applyBorder="1"/>
    <xf numFmtId="0" fontId="0" fillId="0" borderId="2" xfId="0" applyBorder="1"/>
    <xf numFmtId="10" fontId="0" fillId="4" borderId="17" xfId="0" applyNumberFormat="1" applyFill="1" applyBorder="1" applyProtection="1">
      <protection locked="0"/>
    </xf>
    <xf numFmtId="10" fontId="0" fillId="4" borderId="22" xfId="0" applyNumberFormat="1" applyFill="1" applyBorder="1" applyProtection="1">
      <protection locked="0"/>
    </xf>
    <xf numFmtId="0" fontId="5" fillId="0" borderId="18" xfId="0" applyFont="1" applyBorder="1"/>
    <xf numFmtId="0" fontId="5" fillId="0" borderId="19" xfId="0" applyFont="1" applyBorder="1"/>
    <xf numFmtId="0" fontId="7" fillId="2" borderId="18" xfId="0" applyFont="1" applyFill="1" applyBorder="1" applyAlignment="1">
      <alignment vertical="center" wrapText="1"/>
    </xf>
    <xf numFmtId="0" fontId="5" fillId="2" borderId="1" xfId="0" applyFont="1" applyFill="1" applyBorder="1" applyAlignment="1">
      <alignment vertical="center" wrapText="1"/>
    </xf>
    <xf numFmtId="0" fontId="0" fillId="0" borderId="0" xfId="0" applyAlignment="1">
      <alignment vertical="center" wrapText="1"/>
    </xf>
    <xf numFmtId="10" fontId="0" fillId="0" borderId="1" xfId="0" applyNumberFormat="1" applyBorder="1"/>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4" borderId="20" xfId="0" applyFill="1" applyBorder="1" applyProtection="1">
      <protection locked="0"/>
    </xf>
    <xf numFmtId="0" fontId="6" fillId="0" borderId="1" xfId="0" applyFont="1" applyBorder="1" applyProtection="1">
      <protection locked="0"/>
    </xf>
    <xf numFmtId="164" fontId="5" fillId="0" borderId="1" xfId="0" applyNumberFormat="1" applyFont="1" applyBorder="1"/>
    <xf numFmtId="164" fontId="0" fillId="0" borderId="1" xfId="0" applyNumberFormat="1" applyBorder="1"/>
    <xf numFmtId="164" fontId="0" fillId="0" borderId="12" xfId="0" applyNumberFormat="1" applyBorder="1"/>
    <xf numFmtId="164" fontId="0" fillId="0" borderId="16" xfId="0" applyNumberFormat="1" applyBorder="1"/>
    <xf numFmtId="164" fontId="0" fillId="4" borderId="1" xfId="0" applyNumberFormat="1" applyFill="1" applyBorder="1" applyProtection="1">
      <protection locked="0"/>
    </xf>
    <xf numFmtId="164" fontId="5" fillId="0" borderId="12" xfId="0" applyNumberFormat="1" applyFont="1" applyBorder="1"/>
    <xf numFmtId="164" fontId="5" fillId="0" borderId="16" xfId="0" applyNumberFormat="1" applyFont="1" applyBorder="1"/>
    <xf numFmtId="164" fontId="5" fillId="0" borderId="20" xfId="0" applyNumberFormat="1" applyFont="1" applyBorder="1"/>
    <xf numFmtId="0" fontId="0" fillId="4" borderId="0" xfId="0" applyFill="1" applyAlignment="1" applyProtection="1">
      <alignment horizontal="left" vertical="center" wrapText="1"/>
      <protection locked="0"/>
    </xf>
    <xf numFmtId="0" fontId="0" fillId="4" borderId="18"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1" xfId="0" applyFill="1" applyBorder="1" applyAlignment="1" applyProtection="1">
      <alignment horizontal="left" vertical="center" wrapText="1"/>
      <protection locked="0"/>
    </xf>
    <xf numFmtId="0" fontId="0" fillId="4" borderId="19" xfId="0" applyFill="1" applyBorder="1" applyAlignment="1" applyProtection="1">
      <alignment horizontal="left"/>
      <protection locked="0"/>
    </xf>
    <xf numFmtId="0" fontId="0" fillId="4" borderId="18" xfId="0" applyFill="1" applyBorder="1" applyAlignment="1" applyProtection="1">
      <alignment horizontal="center"/>
      <protection locked="0"/>
    </xf>
    <xf numFmtId="0" fontId="0" fillId="4" borderId="19" xfId="0" applyFill="1" applyBorder="1" applyAlignment="1" applyProtection="1">
      <alignment horizontal="center"/>
      <protection locked="0"/>
    </xf>
    <xf numFmtId="0" fontId="0" fillId="4" borderId="20" xfId="0" applyFill="1" applyBorder="1" applyAlignment="1" applyProtection="1">
      <alignment horizontal="center"/>
      <protection locked="0"/>
    </xf>
    <xf numFmtId="0" fontId="0" fillId="4" borderId="21" xfId="0" applyFill="1" applyBorder="1" applyAlignment="1" applyProtection="1">
      <alignment horizontal="left" vertical="center" wrapText="1"/>
      <protection locked="0"/>
    </xf>
    <xf numFmtId="0" fontId="0" fillId="4" borderId="18"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0" fillId="4" borderId="18" xfId="0"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0" fontId="0" fillId="4" borderId="20" xfId="0" applyFill="1" applyBorder="1" applyAlignment="1" applyProtection="1">
      <alignment horizontal="left" vertical="center" wrapText="1"/>
      <protection locked="0"/>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0" xfId="0" applyAlignment="1">
      <alignment horizontal="center" vertical="top"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6" fillId="2" borderId="0" xfId="0" applyFont="1" applyFill="1" applyAlignment="1"/>
    <xf numFmtId="0" fontId="5" fillId="0" borderId="0" xfId="0" applyFont="1" applyAlignment="1"/>
    <xf numFmtId="0" fontId="0" fillId="2" borderId="0" xfId="0" applyFill="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B9DFF6"/>
      <color rgb="FF602365"/>
      <color rgb="FFFFC864"/>
      <color rgb="FFFF6478"/>
      <color rgb="FFFFCD2D"/>
      <color rgb="FF77C0B8"/>
      <color rgb="FF71C6F0"/>
      <color rgb="FFFAFA00"/>
      <color rgb="FFBBDC9B"/>
      <color rgb="FF61A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11</xdr:col>
      <xdr:colOff>0</xdr:colOff>
      <xdr:row>9</xdr:row>
      <xdr:rowOff>100629</xdr:rowOff>
    </xdr:to>
    <xdr:pic>
      <xdr:nvPicPr>
        <xdr:cNvPr id="3" name="Picture 2">
          <a:extLst>
            <a:ext uri="{FF2B5EF4-FFF2-40B4-BE49-F238E27FC236}">
              <a16:creationId xmlns:a16="http://schemas.microsoft.com/office/drawing/2014/main" id="{F2890889-1956-7A08-20F4-51B46CFC9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7620"/>
          <a:ext cx="7711440" cy="17389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5"/>
  <sheetViews>
    <sheetView showGridLines="0" topLeftCell="A7" zoomScaleNormal="100" workbookViewId="0">
      <selection activeCell="D16" sqref="D16"/>
    </sheetView>
  </sheetViews>
  <sheetFormatPr defaultRowHeight="15"/>
  <cols>
    <col min="1" max="1" width="10.85546875" customWidth="1"/>
    <col min="3" max="3" width="32.42578125" customWidth="1"/>
    <col min="9" max="9" width="8.85546875" customWidth="1"/>
    <col min="10" max="10" width="0.140625" customWidth="1"/>
    <col min="11" max="11" width="7" customWidth="1"/>
  </cols>
  <sheetData>
    <row r="1" spans="1:11">
      <c r="A1" s="9"/>
      <c r="B1" s="9"/>
      <c r="C1" s="9"/>
      <c r="D1" s="9"/>
      <c r="E1" s="9"/>
      <c r="F1" s="9"/>
      <c r="G1" s="9"/>
      <c r="H1" s="9"/>
      <c r="I1" s="9"/>
      <c r="J1" s="9"/>
      <c r="K1" s="10"/>
    </row>
    <row r="2" spans="1:11">
      <c r="A2" s="9"/>
      <c r="B2" s="9"/>
      <c r="C2" s="9"/>
      <c r="D2" s="9"/>
      <c r="E2" s="9"/>
      <c r="F2" s="9"/>
      <c r="G2" s="9"/>
      <c r="H2" s="9"/>
      <c r="I2" s="9"/>
      <c r="J2" s="9"/>
      <c r="K2" s="10"/>
    </row>
    <row r="3" spans="1:11">
      <c r="A3" s="9"/>
      <c r="B3" s="9"/>
      <c r="C3" s="9"/>
      <c r="D3" s="9"/>
      <c r="E3" s="9"/>
      <c r="F3" s="9"/>
      <c r="G3" s="9"/>
      <c r="H3" s="9"/>
      <c r="I3" s="9"/>
      <c r="J3" s="9"/>
      <c r="K3" s="10"/>
    </row>
    <row r="4" spans="1:11">
      <c r="A4" s="9"/>
      <c r="B4" s="9"/>
      <c r="C4" s="9"/>
      <c r="D4" s="9"/>
      <c r="E4" s="9"/>
      <c r="F4" s="9"/>
      <c r="G4" s="9"/>
      <c r="H4" s="9"/>
      <c r="I4" s="9"/>
      <c r="J4" s="9"/>
      <c r="K4" s="10"/>
    </row>
    <row r="5" spans="1:11">
      <c r="A5" s="9"/>
      <c r="B5" s="9"/>
      <c r="C5" s="9"/>
      <c r="D5" s="9"/>
      <c r="E5" s="9"/>
      <c r="F5" s="9"/>
      <c r="G5" s="9"/>
      <c r="H5" s="9"/>
      <c r="I5" s="9"/>
      <c r="J5" s="9"/>
      <c r="K5" s="10"/>
    </row>
    <row r="6" spans="1:11">
      <c r="A6" s="9"/>
      <c r="B6" s="9"/>
      <c r="C6" s="9"/>
      <c r="D6" s="9"/>
      <c r="E6" s="9"/>
      <c r="F6" s="9"/>
      <c r="G6" s="9"/>
      <c r="H6" s="9"/>
      <c r="I6" s="9"/>
      <c r="J6" s="9"/>
      <c r="K6" s="10"/>
    </row>
    <row r="7" spans="1:11">
      <c r="A7" s="9"/>
      <c r="B7" s="9"/>
      <c r="C7" s="9"/>
      <c r="D7" s="9"/>
      <c r="E7" s="9"/>
      <c r="F7" s="9"/>
      <c r="G7" s="9"/>
      <c r="H7" s="9"/>
      <c r="I7" s="9"/>
      <c r="J7" s="9"/>
      <c r="K7" s="10"/>
    </row>
    <row r="8" spans="1:11">
      <c r="A8" s="9"/>
      <c r="B8" s="9"/>
      <c r="C8" s="9"/>
      <c r="D8" s="9"/>
      <c r="E8" s="9"/>
      <c r="F8" s="9"/>
      <c r="G8" s="9"/>
      <c r="H8" s="9"/>
      <c r="I8" s="9"/>
      <c r="J8" s="9"/>
      <c r="K8" s="10"/>
    </row>
    <row r="9" spans="1:11">
      <c r="A9" s="9"/>
      <c r="B9" s="9"/>
      <c r="C9" s="9"/>
      <c r="D9" s="9"/>
      <c r="E9" s="9"/>
      <c r="F9" s="9"/>
      <c r="G9" s="9"/>
      <c r="H9" s="9"/>
      <c r="I9" s="9"/>
      <c r="J9" s="9"/>
      <c r="K9" s="10"/>
    </row>
    <row r="10" spans="1:11">
      <c r="A10" s="9"/>
      <c r="B10" s="9"/>
      <c r="C10" s="9"/>
      <c r="D10" s="9"/>
      <c r="E10" s="9"/>
      <c r="F10" s="9"/>
      <c r="G10" s="9"/>
      <c r="H10" s="9"/>
      <c r="I10" s="9"/>
      <c r="J10" s="9"/>
      <c r="K10" s="10"/>
    </row>
    <row r="11" spans="1:11">
      <c r="A11" s="9"/>
      <c r="B11" s="9"/>
      <c r="C11" s="9"/>
      <c r="D11" s="9"/>
      <c r="E11" s="9"/>
      <c r="F11" s="9"/>
      <c r="G11" s="9"/>
      <c r="H11" s="9"/>
      <c r="I11" s="9"/>
      <c r="J11" s="9"/>
      <c r="K11" s="10"/>
    </row>
    <row r="12" spans="1:11" ht="18.75">
      <c r="A12" s="9"/>
      <c r="B12" s="120" t="s">
        <v>0</v>
      </c>
      <c r="C12" s="121"/>
      <c r="D12" s="121"/>
      <c r="E12" s="121"/>
      <c r="F12" s="121"/>
      <c r="G12" s="121"/>
      <c r="H12" s="121"/>
      <c r="I12" s="121"/>
      <c r="J12" s="121"/>
      <c r="K12" s="10"/>
    </row>
    <row r="13" spans="1:11">
      <c r="A13" s="9"/>
      <c r="B13" s="9"/>
      <c r="C13" s="9"/>
      <c r="D13" s="9"/>
      <c r="E13" s="9"/>
      <c r="F13" s="9"/>
      <c r="G13" s="9"/>
      <c r="H13" s="9"/>
      <c r="I13" s="9"/>
      <c r="J13" s="9"/>
      <c r="K13" s="10"/>
    </row>
    <row r="14" spans="1:11">
      <c r="A14" s="9"/>
      <c r="B14" s="122" t="s">
        <v>1</v>
      </c>
      <c r="C14" s="123"/>
      <c r="D14" s="70" t="s">
        <v>2</v>
      </c>
      <c r="E14" s="70"/>
      <c r="F14" s="70"/>
      <c r="G14" s="70"/>
      <c r="H14" s="70"/>
      <c r="I14" s="70"/>
      <c r="J14" s="11"/>
      <c r="K14" s="10"/>
    </row>
    <row r="15" spans="1:11">
      <c r="A15" s="9"/>
      <c r="B15" s="122" t="s">
        <v>3</v>
      </c>
      <c r="C15" s="123"/>
      <c r="D15" s="70" t="s">
        <v>4</v>
      </c>
      <c r="E15" s="70"/>
      <c r="F15" s="70"/>
      <c r="G15" s="70"/>
      <c r="H15" s="70"/>
      <c r="I15" s="70"/>
      <c r="J15" s="11"/>
      <c r="K15" s="10"/>
    </row>
    <row r="16" spans="1:11">
      <c r="A16" s="9"/>
      <c r="B16" s="9" t="s">
        <v>5</v>
      </c>
      <c r="C16" s="9"/>
      <c r="D16" s="70" t="s">
        <v>6</v>
      </c>
      <c r="E16" s="70"/>
      <c r="F16" s="70"/>
      <c r="G16" s="70"/>
      <c r="H16" s="70"/>
      <c r="I16" s="70"/>
      <c r="J16" s="11"/>
      <c r="K16" s="10"/>
    </row>
    <row r="17" spans="1:11" ht="45" customHeight="1">
      <c r="A17" s="9"/>
      <c r="B17" s="34" t="s">
        <v>7</v>
      </c>
      <c r="C17" s="33"/>
      <c r="D17" s="99" t="s">
        <v>8</v>
      </c>
      <c r="E17" s="99"/>
      <c r="F17" s="99"/>
      <c r="G17" s="99"/>
      <c r="H17" s="99"/>
      <c r="I17" s="99"/>
      <c r="J17" s="9"/>
      <c r="K17" s="10"/>
    </row>
    <row r="18" spans="1:11">
      <c r="A18" s="9"/>
      <c r="B18" s="33"/>
      <c r="C18" s="33"/>
      <c r="D18" s="33"/>
      <c r="E18" s="33"/>
      <c r="F18" s="33"/>
      <c r="G18" s="33"/>
      <c r="H18" s="33"/>
      <c r="I18" s="33"/>
      <c r="J18" s="9"/>
      <c r="K18" s="10"/>
    </row>
    <row r="19" spans="1:11">
      <c r="A19" s="9"/>
      <c r="B19" s="33"/>
      <c r="C19" s="33"/>
      <c r="D19" s="33"/>
      <c r="E19" s="33"/>
      <c r="F19" s="33"/>
      <c r="G19" s="33"/>
      <c r="H19" s="33"/>
      <c r="I19" s="33"/>
      <c r="J19" s="9"/>
      <c r="K19" s="10"/>
    </row>
    <row r="20" spans="1:11">
      <c r="A20" s="9"/>
      <c r="B20" s="33"/>
      <c r="C20" s="33"/>
      <c r="D20" s="33"/>
      <c r="E20" s="33"/>
      <c r="F20" s="33"/>
      <c r="G20" s="33"/>
      <c r="H20" s="33"/>
      <c r="I20" s="33"/>
      <c r="J20" s="9"/>
      <c r="K20" s="10"/>
    </row>
    <row r="21" spans="1:11">
      <c r="A21" s="9"/>
      <c r="B21" s="33"/>
      <c r="C21" s="33"/>
      <c r="D21" s="33"/>
      <c r="E21" s="33"/>
      <c r="F21" s="33"/>
      <c r="G21" s="33"/>
      <c r="H21" s="33"/>
      <c r="I21" s="33"/>
      <c r="J21" s="9"/>
      <c r="K21" s="10"/>
    </row>
    <row r="22" spans="1:11">
      <c r="A22" s="9"/>
      <c r="B22" s="33"/>
      <c r="C22" s="33"/>
      <c r="D22" s="33"/>
      <c r="E22" s="33"/>
      <c r="F22" s="33"/>
      <c r="G22" s="33"/>
      <c r="H22" s="33"/>
      <c r="I22" s="33"/>
      <c r="J22" s="9"/>
      <c r="K22" s="10"/>
    </row>
    <row r="23" spans="1:11">
      <c r="A23" s="9"/>
      <c r="B23" s="33"/>
      <c r="C23" s="33"/>
      <c r="D23" s="33"/>
      <c r="E23" s="33"/>
      <c r="F23" s="33"/>
      <c r="G23" s="33"/>
      <c r="H23" s="33"/>
      <c r="I23" s="33"/>
      <c r="J23" s="9"/>
      <c r="K23" s="10"/>
    </row>
    <row r="24" spans="1:11">
      <c r="A24" s="9"/>
      <c r="B24" s="9"/>
      <c r="C24" s="9"/>
      <c r="D24" s="9"/>
      <c r="E24" s="9"/>
      <c r="F24" s="9"/>
      <c r="G24" s="9"/>
      <c r="H24" s="9"/>
      <c r="I24" s="9"/>
      <c r="J24" s="9"/>
      <c r="K24" s="10"/>
    </row>
    <row r="25" spans="1:11">
      <c r="A25" s="9"/>
      <c r="B25" s="9"/>
      <c r="C25" s="9"/>
      <c r="D25" s="9"/>
      <c r="E25" s="9"/>
      <c r="F25" s="9"/>
      <c r="G25" s="9"/>
      <c r="H25" s="9"/>
      <c r="I25" s="9"/>
      <c r="J25" s="9"/>
      <c r="K25" s="10"/>
    </row>
    <row r="26" spans="1:11">
      <c r="A26" s="9"/>
      <c r="B26" s="9"/>
      <c r="C26" s="9"/>
      <c r="D26" s="9"/>
      <c r="E26" s="9"/>
      <c r="F26" s="9"/>
      <c r="G26" s="9"/>
      <c r="H26" s="9"/>
      <c r="I26" s="9"/>
      <c r="J26" s="9"/>
      <c r="K26" s="10"/>
    </row>
    <row r="27" spans="1:11">
      <c r="A27" s="9"/>
      <c r="B27" s="9"/>
      <c r="C27" s="9"/>
      <c r="D27" s="9"/>
      <c r="E27" s="9"/>
      <c r="F27" s="9"/>
      <c r="G27" s="9"/>
      <c r="H27" s="9"/>
      <c r="I27" s="9"/>
      <c r="J27" s="9"/>
      <c r="K27" s="10"/>
    </row>
    <row r="28" spans="1:11">
      <c r="A28" s="9"/>
      <c r="B28" s="9"/>
      <c r="C28" s="9"/>
      <c r="D28" s="9"/>
      <c r="E28" s="9"/>
      <c r="F28" s="9"/>
      <c r="G28" s="9"/>
      <c r="H28" s="9"/>
      <c r="I28" s="9"/>
      <c r="J28" s="9"/>
      <c r="K28" s="10"/>
    </row>
    <row r="29" spans="1:11">
      <c r="A29" s="9"/>
      <c r="B29" s="9"/>
      <c r="C29" s="9"/>
      <c r="D29" s="9"/>
      <c r="E29" s="9"/>
      <c r="F29" s="9"/>
      <c r="G29" s="9"/>
      <c r="H29" s="9"/>
      <c r="I29" s="9"/>
      <c r="J29" s="9"/>
      <c r="K29" s="10"/>
    </row>
    <row r="30" spans="1:11">
      <c r="A30" s="9"/>
      <c r="B30" s="9"/>
      <c r="C30" s="9"/>
      <c r="D30" s="9"/>
      <c r="E30" s="9"/>
      <c r="F30" s="9"/>
      <c r="G30" s="9"/>
      <c r="H30" s="9"/>
      <c r="I30" s="9"/>
      <c r="J30" s="9"/>
      <c r="K30" s="10"/>
    </row>
    <row r="31" spans="1:11">
      <c r="A31" s="9"/>
      <c r="B31" s="9"/>
      <c r="C31" s="9"/>
      <c r="D31" s="9"/>
      <c r="E31" s="9"/>
      <c r="F31" s="9"/>
      <c r="G31" s="9"/>
      <c r="H31" s="9"/>
      <c r="I31" s="9"/>
      <c r="J31" s="9"/>
      <c r="K31" s="10"/>
    </row>
    <row r="32" spans="1:11">
      <c r="A32" s="9"/>
      <c r="B32" s="9"/>
      <c r="C32" s="9"/>
      <c r="D32" s="9"/>
      <c r="E32" s="9"/>
      <c r="F32" s="9"/>
      <c r="G32" s="9"/>
      <c r="H32" s="9"/>
      <c r="I32" s="9"/>
      <c r="J32" s="9"/>
      <c r="K32" s="10"/>
    </row>
    <row r="33" spans="1:11">
      <c r="A33" s="9"/>
      <c r="B33" s="9"/>
      <c r="C33" s="9"/>
      <c r="D33" s="9"/>
      <c r="E33" s="9"/>
      <c r="F33" s="9"/>
      <c r="G33" s="9"/>
      <c r="H33" s="9"/>
      <c r="I33" s="9"/>
      <c r="J33" s="9"/>
      <c r="K33" s="10"/>
    </row>
    <row r="34" spans="1:11">
      <c r="A34" s="9"/>
      <c r="B34" s="9"/>
      <c r="C34" s="9"/>
      <c r="D34" s="9"/>
      <c r="E34" s="9"/>
      <c r="F34" s="9"/>
      <c r="G34" s="9"/>
      <c r="H34" s="9"/>
      <c r="I34" s="9"/>
      <c r="J34" s="9"/>
      <c r="K34" s="10"/>
    </row>
    <row r="35" spans="1:11">
      <c r="A35" s="9"/>
      <c r="B35" s="9"/>
      <c r="C35" s="9"/>
      <c r="D35" s="9"/>
      <c r="E35" s="9"/>
      <c r="F35" s="9"/>
      <c r="G35" s="9"/>
      <c r="H35" s="9"/>
      <c r="I35" s="9"/>
      <c r="J35" s="9"/>
      <c r="K35" s="10"/>
    </row>
    <row r="36" spans="1:11">
      <c r="A36" s="9"/>
      <c r="B36" s="9"/>
      <c r="C36" s="9"/>
      <c r="D36" s="9"/>
      <c r="E36" s="9"/>
      <c r="F36" s="9"/>
      <c r="G36" s="9"/>
      <c r="H36" s="9"/>
      <c r="I36" s="9"/>
      <c r="J36" s="9"/>
      <c r="K36" s="10"/>
    </row>
    <row r="37" spans="1:11">
      <c r="A37" s="9"/>
      <c r="B37" s="9"/>
      <c r="C37" s="9"/>
      <c r="D37" s="9"/>
      <c r="E37" s="9"/>
      <c r="F37" s="9"/>
      <c r="G37" s="9"/>
      <c r="H37" s="9"/>
      <c r="I37" s="9"/>
      <c r="J37" s="9"/>
      <c r="K37" s="10"/>
    </row>
    <row r="38" spans="1:11">
      <c r="A38" s="9"/>
      <c r="B38" s="9"/>
      <c r="C38" s="9"/>
      <c r="D38" s="9"/>
      <c r="E38" s="9"/>
      <c r="F38" s="9"/>
      <c r="G38" s="9"/>
      <c r="H38" s="9"/>
      <c r="I38" s="9"/>
      <c r="J38" s="9"/>
      <c r="K38" s="10"/>
    </row>
    <row r="39" spans="1:11">
      <c r="A39" s="9"/>
      <c r="B39" s="9"/>
      <c r="C39" s="9"/>
      <c r="D39" s="9"/>
      <c r="E39" s="9"/>
      <c r="F39" s="9"/>
      <c r="G39" s="9"/>
      <c r="H39" s="9"/>
      <c r="I39" s="9"/>
      <c r="J39" s="9"/>
      <c r="K39" s="10"/>
    </row>
    <row r="40" spans="1:11">
      <c r="A40" s="9"/>
      <c r="B40" s="9"/>
      <c r="C40" s="9"/>
      <c r="D40" s="9"/>
      <c r="E40" s="9"/>
      <c r="F40" s="9"/>
      <c r="G40" s="9"/>
      <c r="H40" s="9"/>
      <c r="I40" s="9"/>
      <c r="J40" s="9"/>
      <c r="K40" s="10"/>
    </row>
    <row r="41" spans="1:11">
      <c r="A41" s="9"/>
      <c r="B41" s="9"/>
      <c r="C41" s="9"/>
      <c r="D41" s="9"/>
      <c r="E41" s="9"/>
      <c r="F41" s="9"/>
      <c r="G41" s="9"/>
      <c r="H41" s="9"/>
      <c r="I41" s="9"/>
      <c r="J41" s="9"/>
      <c r="K41" s="10"/>
    </row>
    <row r="42" spans="1:11">
      <c r="A42" s="9"/>
      <c r="B42" s="9"/>
      <c r="C42" s="9"/>
      <c r="D42" s="9"/>
      <c r="E42" s="9"/>
      <c r="F42" s="9"/>
      <c r="G42" s="9"/>
      <c r="H42" s="9"/>
      <c r="I42" s="9"/>
      <c r="J42" s="9"/>
      <c r="K42" s="10"/>
    </row>
    <row r="43" spans="1:11">
      <c r="A43" s="9"/>
      <c r="B43" s="9"/>
      <c r="C43" s="9"/>
      <c r="D43" s="9"/>
      <c r="E43" s="9"/>
      <c r="F43" s="9"/>
      <c r="G43" s="9"/>
      <c r="H43" s="9"/>
      <c r="I43" s="9"/>
      <c r="J43" s="9"/>
      <c r="K43" s="10"/>
    </row>
    <row r="44" spans="1:11">
      <c r="A44" s="9"/>
      <c r="B44" s="9"/>
      <c r="C44" s="9"/>
      <c r="D44" s="9"/>
      <c r="E44" s="9"/>
      <c r="F44" s="9"/>
      <c r="G44" s="9"/>
      <c r="H44" s="9"/>
      <c r="I44" s="9"/>
      <c r="J44" s="9"/>
      <c r="K44" s="10"/>
    </row>
    <row r="45" spans="1:11">
      <c r="A45" s="9"/>
      <c r="B45" s="9"/>
      <c r="C45" s="9"/>
      <c r="D45" s="9"/>
      <c r="E45" s="9"/>
      <c r="F45" s="9"/>
      <c r="G45" s="9"/>
      <c r="H45" s="9"/>
      <c r="I45" s="9"/>
      <c r="J45" s="9"/>
      <c r="K45" s="10"/>
    </row>
    <row r="46" spans="1:11">
      <c r="A46" s="9"/>
      <c r="B46" s="9"/>
      <c r="C46" s="9"/>
      <c r="D46" s="9"/>
      <c r="E46" s="9"/>
      <c r="F46" s="9"/>
      <c r="G46" s="9"/>
      <c r="H46" s="9"/>
      <c r="I46" s="9"/>
      <c r="J46" s="9"/>
      <c r="K46" s="10"/>
    </row>
    <row r="47" spans="1:11">
      <c r="A47" s="9"/>
      <c r="B47" s="9"/>
      <c r="C47" s="9"/>
      <c r="D47" s="9"/>
      <c r="E47" s="9"/>
      <c r="F47" s="9"/>
      <c r="G47" s="9"/>
      <c r="H47" s="9"/>
      <c r="I47" s="9"/>
      <c r="J47" s="9"/>
      <c r="K47" s="10"/>
    </row>
    <row r="48" spans="1:11">
      <c r="A48" s="9"/>
      <c r="B48" s="9"/>
      <c r="C48" s="9"/>
      <c r="D48" s="9"/>
      <c r="E48" s="9"/>
      <c r="F48" s="9"/>
      <c r="G48" s="9"/>
      <c r="H48" s="9"/>
      <c r="I48" s="9"/>
      <c r="J48" s="9"/>
      <c r="K48" s="10"/>
    </row>
    <row r="49" spans="1:11">
      <c r="A49" s="9"/>
      <c r="B49" s="9"/>
      <c r="C49" s="9"/>
      <c r="D49" s="9"/>
      <c r="E49" s="9"/>
      <c r="F49" s="9"/>
      <c r="G49" s="9"/>
      <c r="H49" s="9"/>
      <c r="I49" s="9"/>
      <c r="J49" s="9"/>
      <c r="K49" s="10"/>
    </row>
    <row r="50" spans="1:11">
      <c r="A50" s="9"/>
      <c r="B50" s="9"/>
      <c r="C50" s="9"/>
      <c r="D50" s="9"/>
      <c r="E50" s="9"/>
      <c r="F50" s="9"/>
      <c r="G50" s="9"/>
      <c r="H50" s="9"/>
      <c r="I50" s="9"/>
      <c r="J50" s="9"/>
      <c r="K50" s="10"/>
    </row>
    <row r="51" spans="1:11">
      <c r="A51" s="9"/>
      <c r="B51" s="9"/>
      <c r="C51" s="9"/>
      <c r="D51" s="9"/>
      <c r="E51" s="9"/>
      <c r="F51" s="9"/>
      <c r="G51" s="9"/>
      <c r="H51" s="9"/>
      <c r="I51" s="9"/>
      <c r="J51" s="9"/>
      <c r="K51" s="10"/>
    </row>
    <row r="52" spans="1:11">
      <c r="A52" s="9"/>
      <c r="B52" s="9"/>
      <c r="C52" s="9"/>
      <c r="D52" s="9"/>
      <c r="E52" s="9"/>
      <c r="F52" s="9"/>
      <c r="G52" s="9"/>
      <c r="H52" s="9"/>
      <c r="I52" s="9"/>
      <c r="J52" s="9"/>
      <c r="K52" s="10"/>
    </row>
    <row r="53" spans="1:11">
      <c r="A53" s="9"/>
      <c r="B53" s="9"/>
      <c r="C53" s="9"/>
      <c r="D53" s="9"/>
      <c r="E53" s="9"/>
      <c r="F53" s="9"/>
      <c r="G53" s="9"/>
      <c r="H53" s="9"/>
      <c r="I53" s="9"/>
      <c r="J53" s="9"/>
      <c r="K53" s="10"/>
    </row>
    <row r="54" spans="1:11">
      <c r="A54" s="9"/>
      <c r="B54" s="9"/>
      <c r="C54" s="9"/>
      <c r="D54" s="9"/>
      <c r="E54" s="9"/>
      <c r="F54" s="9"/>
      <c r="G54" s="9"/>
      <c r="H54" s="9"/>
      <c r="I54" s="9"/>
      <c r="J54" s="9"/>
      <c r="K54" s="10"/>
    </row>
    <row r="55" spans="1:11">
      <c r="A55" s="9"/>
      <c r="B55" s="9"/>
      <c r="C55" s="9"/>
      <c r="D55" s="9"/>
      <c r="E55" s="9"/>
      <c r="F55" s="9"/>
      <c r="G55" s="9"/>
      <c r="H55" s="9"/>
      <c r="I55" s="9"/>
      <c r="J55" s="9"/>
      <c r="K55" s="10"/>
    </row>
    <row r="56" spans="1:11">
      <c r="A56" s="9"/>
      <c r="B56" s="9"/>
      <c r="C56" s="9"/>
      <c r="D56" s="9"/>
      <c r="E56" s="9"/>
      <c r="F56" s="9"/>
      <c r="G56" s="9"/>
      <c r="H56" s="9"/>
      <c r="I56" s="9"/>
      <c r="J56" s="9"/>
      <c r="K56" s="10"/>
    </row>
    <row r="57" spans="1:11">
      <c r="A57" s="9"/>
      <c r="B57" s="9"/>
      <c r="C57" s="9"/>
      <c r="D57" s="9"/>
      <c r="E57" s="9"/>
      <c r="F57" s="9"/>
      <c r="G57" s="9"/>
      <c r="H57" s="9"/>
      <c r="I57" s="9"/>
      <c r="J57" s="9"/>
      <c r="K57" s="10"/>
    </row>
    <row r="58" spans="1:11">
      <c r="A58" s="9"/>
      <c r="B58" s="9"/>
      <c r="C58" s="9"/>
      <c r="D58" s="9"/>
      <c r="E58" s="9"/>
      <c r="F58" s="9"/>
      <c r="G58" s="9"/>
      <c r="H58" s="9"/>
      <c r="I58" s="9"/>
      <c r="J58" s="9"/>
      <c r="K58" s="10"/>
    </row>
    <row r="59" spans="1:11">
      <c r="A59" s="9"/>
      <c r="B59" s="9"/>
      <c r="C59" s="9"/>
      <c r="D59" s="9"/>
      <c r="E59" s="9"/>
      <c r="F59" s="9"/>
      <c r="G59" s="9"/>
      <c r="H59" s="9"/>
      <c r="I59" s="9"/>
      <c r="J59" s="9"/>
      <c r="K59" s="10"/>
    </row>
    <row r="60" spans="1:11">
      <c r="A60" s="9"/>
      <c r="B60" s="9"/>
      <c r="C60" s="9"/>
      <c r="D60" s="9"/>
      <c r="E60" s="9"/>
      <c r="F60" s="9"/>
      <c r="G60" s="9"/>
      <c r="H60" s="9"/>
      <c r="I60" s="9"/>
      <c r="J60" s="9"/>
      <c r="K60" s="10"/>
    </row>
    <row r="61" spans="1:11">
      <c r="A61" s="9"/>
      <c r="B61" s="9"/>
      <c r="C61" s="9"/>
      <c r="D61" s="9"/>
      <c r="E61" s="9"/>
      <c r="F61" s="9"/>
      <c r="G61" s="9"/>
      <c r="H61" s="9"/>
      <c r="I61" s="9"/>
      <c r="J61" s="9"/>
      <c r="K61" s="10"/>
    </row>
    <row r="62" spans="1:11">
      <c r="A62" s="9"/>
      <c r="B62" s="9"/>
      <c r="C62" s="9"/>
      <c r="D62" s="9"/>
      <c r="E62" s="9"/>
      <c r="F62" s="9"/>
      <c r="G62" s="9"/>
      <c r="H62" s="9"/>
      <c r="I62" s="9"/>
      <c r="J62" s="9"/>
      <c r="K62" s="10"/>
    </row>
    <row r="63" spans="1:11">
      <c r="A63" s="9"/>
      <c r="B63" s="9"/>
      <c r="C63" s="9"/>
      <c r="D63" s="9"/>
      <c r="E63" s="9"/>
      <c r="F63" s="9"/>
      <c r="G63" s="9"/>
      <c r="H63" s="9"/>
      <c r="I63" s="9"/>
      <c r="J63" s="9"/>
      <c r="K63" s="10"/>
    </row>
    <row r="64" spans="1:11">
      <c r="A64" s="9"/>
      <c r="B64" s="9"/>
      <c r="C64" s="9"/>
      <c r="D64" s="9"/>
      <c r="E64" s="9"/>
      <c r="F64" s="9"/>
      <c r="G64" s="9"/>
      <c r="H64" s="9"/>
      <c r="I64" s="9"/>
      <c r="J64" s="9"/>
      <c r="K64" s="10"/>
    </row>
    <row r="65" spans="1:11">
      <c r="A65" s="9"/>
      <c r="B65" s="9"/>
      <c r="C65" s="9"/>
      <c r="D65" s="9"/>
      <c r="E65" s="9"/>
      <c r="F65" s="9"/>
      <c r="G65" s="9"/>
      <c r="H65" s="9"/>
      <c r="I65" s="9"/>
      <c r="J65" s="9"/>
      <c r="K65" s="10"/>
    </row>
  </sheetData>
  <sheetProtection algorithmName="SHA-512" hashValue="XM3X0bsgjEDi2pA4DlPzAw7qLKV0NjdzWUPpJYG0zkyJa3YTVKwSghzFiuR9CJYfq8d7twk44qq5gAibzrMYNQ==" saltValue="romteLV+M+crTaed6YaKmw==" spinCount="100000" sheet="1" formatCells="0" formatColumns="0" formatRows="0" insertHyperlinks="0" sort="0" autoFilter="0" pivotTables="0"/>
  <mergeCells count="4">
    <mergeCell ref="B12:J12"/>
    <mergeCell ref="B14:C14"/>
    <mergeCell ref="B15:C15"/>
    <mergeCell ref="D17:I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7"/>
  <sheetViews>
    <sheetView showGridLines="0" showRowColHeaders="0" tabSelected="1" workbookViewId="0">
      <selection activeCell="B8" sqref="B8"/>
    </sheetView>
  </sheetViews>
  <sheetFormatPr defaultRowHeight="15"/>
  <cols>
    <col min="1" max="1" width="61" bestFit="1" customWidth="1"/>
    <col min="2" max="2" width="56" bestFit="1" customWidth="1"/>
    <col min="3" max="5" width="15.7109375" customWidth="1"/>
    <col min="7" max="7" width="9.140625" customWidth="1"/>
  </cols>
  <sheetData>
    <row r="1" spans="1:6" s="18" customFormat="1">
      <c r="A1" s="46" t="str">
        <f>_xlfn.CONCAT("Summary sheet:"," ",IF('Cover Page'!$D$16="Enter SMC number (e.g, SMC 0000)","",'Cover Page'!$D$16)," ",IF('Cover Page'!$D$14="Enter generic name","",'Cover Page'!$D$14)," ",IF('Cover Page'!$D$15="Enter brand name","",_xlfn.CONCAT("(",'Cover Page'!$D$15,")")))</f>
        <v>Summary sheet: SMC123# Empagumab (EXAMPLEBRANDNAME)</v>
      </c>
    </row>
    <row r="3" spans="1:6">
      <c r="A3" s="13" t="s">
        <v>9</v>
      </c>
    </row>
    <row r="4" spans="1:6">
      <c r="A4" s="47" t="s">
        <v>10</v>
      </c>
      <c r="B4" s="45" t="s">
        <v>11</v>
      </c>
    </row>
    <row r="5" spans="1:6">
      <c r="A5" s="47" t="s">
        <v>12</v>
      </c>
      <c r="B5" s="45" t="s">
        <v>13</v>
      </c>
    </row>
    <row r="6" spans="1:6">
      <c r="A6" s="47" t="s">
        <v>14</v>
      </c>
      <c r="B6" s="45" t="s">
        <v>15</v>
      </c>
    </row>
    <row r="7" spans="1:6">
      <c r="A7" s="47" t="s">
        <v>16</v>
      </c>
      <c r="B7" s="45" t="s">
        <v>15</v>
      </c>
    </row>
    <row r="8" spans="1:6">
      <c r="A8" s="47" t="s">
        <v>17</v>
      </c>
      <c r="B8" s="45" t="s">
        <v>13</v>
      </c>
      <c r="F8" s="1"/>
    </row>
    <row r="9" spans="1:6">
      <c r="A9" s="47" t="s">
        <v>18</v>
      </c>
      <c r="B9" s="45" t="s">
        <v>19</v>
      </c>
      <c r="C9" s="26">
        <f>VLOOKUP(B9,'Engine (Calcs and lists)'!H2:J13,3,0)</f>
        <v>1</v>
      </c>
      <c r="F9" s="1"/>
    </row>
    <row r="10" spans="1:6">
      <c r="F10" s="1"/>
    </row>
    <row r="11" spans="1:6">
      <c r="A11" s="13" t="s">
        <v>20</v>
      </c>
    </row>
    <row r="12" spans="1:6">
      <c r="A12" s="48"/>
      <c r="B12" s="49"/>
      <c r="C12" s="17" t="s">
        <v>21</v>
      </c>
      <c r="D12" s="17" t="s">
        <v>22</v>
      </c>
      <c r="E12" s="17" t="s">
        <v>23</v>
      </c>
    </row>
    <row r="13" spans="1:6">
      <c r="A13" s="45" t="s">
        <v>2</v>
      </c>
      <c r="B13" s="47" t="s">
        <v>24</v>
      </c>
      <c r="C13" s="47">
        <f>ROUND('Input - Patient numbers'!B28*(VLOOKUP($B$4,'Engine (Calcs and lists)'!$C$10:$D$24,2)),0)</f>
        <v>45</v>
      </c>
      <c r="D13" s="47">
        <f>ROUND('Input - Patient numbers'!C28*(VLOOKUP($B$4,'Engine (Calcs and lists)'!$C$10:$D$24,2)),0)</f>
        <v>58</v>
      </c>
      <c r="E13" s="47">
        <f>ROUND('Input - Patient numbers'!D28*(VLOOKUP($B$4,'Engine (Calcs and lists)'!$C$10:$D$24,2)),0)</f>
        <v>74</v>
      </c>
    </row>
    <row r="14" spans="1:6">
      <c r="A14" s="50"/>
      <c r="B14" s="47" t="s">
        <v>25</v>
      </c>
      <c r="C14" s="92">
        <f>VLOOKUP($B$5,'Engine (Calcs and lists)'!$B$2:$D$3,3)*IF($B$6="Yes",1.2,1)</f>
        <v>300615.8203125</v>
      </c>
      <c r="D14" s="92">
        <f>VLOOKUP($B$5,'Engine (Calcs and lists)'!$B$2:$D$3,3)*IF($B$6="Yes",1.2,1)</f>
        <v>300615.8203125</v>
      </c>
      <c r="E14" s="92">
        <f>VLOOKUP($B$5,'Engine (Calcs and lists)'!$B$2:$D$3,3)*IF($B$6="Yes",1.2,1)</f>
        <v>300615.8203125</v>
      </c>
    </row>
    <row r="15" spans="1:6">
      <c r="A15" s="50"/>
      <c r="B15" s="47" t="s">
        <v>26</v>
      </c>
      <c r="C15" s="92">
        <f>C13*C14</f>
        <v>13527711.9140625</v>
      </c>
      <c r="D15" s="92">
        <f t="shared" ref="D15:E15" si="0">D13*D14</f>
        <v>17435717.578125</v>
      </c>
      <c r="E15" s="92">
        <f t="shared" si="0"/>
        <v>22245570.703125</v>
      </c>
    </row>
    <row r="16" spans="1:6">
      <c r="A16" s="50"/>
      <c r="E16" s="51"/>
    </row>
    <row r="17" spans="1:5">
      <c r="A17" s="45" t="s">
        <v>27</v>
      </c>
      <c r="B17" s="47" t="s">
        <v>28</v>
      </c>
      <c r="C17" s="92">
        <f>VLOOKUP($B$5,'Engine (Calcs and lists)'!$B$6:$D$7,3)*IF($B$7="Yes",1.2,1)</f>
        <v>166030.35</v>
      </c>
      <c r="D17" s="92">
        <f>VLOOKUP($B$5,'Engine (Calcs and lists)'!$B$6:$D$7,3)*IF($B$7="Yes",1.2,1)</f>
        <v>166030.35</v>
      </c>
      <c r="E17" s="92">
        <f>VLOOKUP($B$5,'Engine (Calcs and lists)'!$B$6:$D$7,3)*IF($B$7="Yes",1.2,1)</f>
        <v>166030.35</v>
      </c>
    </row>
    <row r="18" spans="1:5">
      <c r="A18" s="50"/>
      <c r="B18" s="47" t="s">
        <v>26</v>
      </c>
      <c r="C18" s="92">
        <f>C13*C17</f>
        <v>7471365.75</v>
      </c>
      <c r="D18" s="92">
        <f>D13*D17</f>
        <v>9629760.3000000007</v>
      </c>
      <c r="E18" s="92">
        <f>E13*E17</f>
        <v>12286245.9</v>
      </c>
    </row>
    <row r="19" spans="1:5">
      <c r="A19" s="50"/>
      <c r="E19" s="51"/>
    </row>
    <row r="20" spans="1:5">
      <c r="A20" s="17" t="s">
        <v>29</v>
      </c>
      <c r="B20" s="17" t="s">
        <v>30</v>
      </c>
      <c r="C20" s="91">
        <f>(C15-C18)*C9</f>
        <v>6056346.1640625</v>
      </c>
      <c r="D20" s="91">
        <f>D15-D18</f>
        <v>7805957.2781249993</v>
      </c>
      <c r="E20" s="91">
        <f>E15-E18</f>
        <v>9959324.8031249996</v>
      </c>
    </row>
    <row r="23" spans="1:5">
      <c r="A23" s="16" t="s">
        <v>31</v>
      </c>
    </row>
    <row r="24" spans="1:5">
      <c r="A24" s="45" t="s">
        <v>2</v>
      </c>
      <c r="B24" s="47" t="s">
        <v>32</v>
      </c>
      <c r="C24" s="92">
        <f>IF($B$8="No","",'Input - Service Resource Other'!$B$18)</f>
        <v>0</v>
      </c>
      <c r="D24" s="92">
        <f>IF($B$8="No","",'Input - Service Resource Other'!$B$18)</f>
        <v>0</v>
      </c>
      <c r="E24" s="92">
        <f>IF($B$8="No","",'Input - Service Resource Other'!$B$18)</f>
        <v>0</v>
      </c>
    </row>
    <row r="25" spans="1:5">
      <c r="A25" s="45" t="s">
        <v>33</v>
      </c>
      <c r="B25" s="47" t="s">
        <v>32</v>
      </c>
      <c r="C25" s="92">
        <f>IF($B$8="No","",'Input - Service Resource Other'!$B$19)</f>
        <v>1387.5</v>
      </c>
      <c r="D25" s="92">
        <f>IF($B$8="No","",'Input - Service Resource Other'!$B$19)</f>
        <v>1387.5</v>
      </c>
      <c r="E25" s="92">
        <f>IF($B$8="No","",'Input - Service Resource Other'!$B$19)</f>
        <v>1387.5</v>
      </c>
    </row>
    <row r="26" spans="1:5">
      <c r="A26" s="50"/>
      <c r="E26" s="51"/>
    </row>
    <row r="27" spans="1:5">
      <c r="A27" s="17" t="s">
        <v>34</v>
      </c>
      <c r="B27" s="17" t="s">
        <v>35</v>
      </c>
      <c r="C27" s="91">
        <f>IF($B$8="No","",C20+(C24*C13-C25*C13))</f>
        <v>5993908.6640625</v>
      </c>
      <c r="D27" s="91">
        <f>IF($B$8="No","",D20+(D24*D13-D25*D13))</f>
        <v>7725482.2781249993</v>
      </c>
      <c r="E27" s="91">
        <f>IF($B$8="No","",E20+(E24*E13-E25*E13))</f>
        <v>9856649.8031249996</v>
      </c>
    </row>
  </sheetData>
  <sheetProtection algorithmName="SHA-512" hashValue="0nGjswTGSTbLvazg3uT2OKjOzIr1wleyNn2f7MjO8eMAOmCjoQeJIywOlkJP05bOdSJ2ZVjRe+FP/n3EH/MxXg==" saltValue="YuU4Ufz0p3MQriUeVMR+hA==" spinCount="100000" sheet="1" formatCells="0" formatColumns="0" formatRows="0" insertHyperlinks="0" sort="0" autoFilter="0" pivotTables="0"/>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'Engine (Calcs and lists)'!$A$10:$A$11</xm:f>
          </x14:formula1>
          <xm:sqref>B5:B8 B11</xm:sqref>
        </x14:dataValidation>
        <x14:dataValidation type="list" allowBlank="1" showInputMessage="1" showErrorMessage="1" xr:uid="{00000000-0002-0000-0200-000001000000}">
          <x14:formula1>
            <xm:f>'Engine (Calcs and lists)'!$C$10:$C$24</xm:f>
          </x14:formula1>
          <xm:sqref>B4</xm:sqref>
        </x14:dataValidation>
        <x14:dataValidation type="list" allowBlank="1" showInputMessage="1" showErrorMessage="1" xr:uid="{A07AAD35-59A5-42D5-B476-6F5AA565F7AC}">
          <x14:formula1>
            <xm:f>'Engine (Calcs and lists)'!$H$2:$H$13</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61"/>
  <sheetViews>
    <sheetView showGridLines="0" showRowColHeaders="0" topLeftCell="A13" zoomScaleNormal="100" workbookViewId="0">
      <selection activeCell="P60" sqref="P60:Q61"/>
    </sheetView>
  </sheetViews>
  <sheetFormatPr defaultRowHeight="15"/>
  <cols>
    <col min="1" max="1" width="41.140625" bestFit="1" customWidth="1"/>
    <col min="2" max="2" width="14.140625" bestFit="1" customWidth="1"/>
    <col min="3" max="3" width="20.42578125" bestFit="1" customWidth="1"/>
    <col min="4" max="4" width="20.42578125" customWidth="1"/>
    <col min="5" max="5" width="27" bestFit="1" customWidth="1"/>
    <col min="6" max="6" width="28.85546875" bestFit="1" customWidth="1"/>
    <col min="7" max="7" width="8.140625" bestFit="1" customWidth="1"/>
    <col min="8" max="8" width="30.85546875" bestFit="1" customWidth="1"/>
    <col min="9" max="9" width="12.42578125" bestFit="1" customWidth="1"/>
    <col min="10" max="10" width="18.42578125" bestFit="1" customWidth="1"/>
    <col min="11" max="11" width="27.5703125" bestFit="1" customWidth="1"/>
    <col min="12" max="12" width="30.85546875" bestFit="1" customWidth="1"/>
    <col min="13" max="13" width="24.85546875" bestFit="1" customWidth="1"/>
    <col min="14" max="14" width="34.140625" bestFit="1" customWidth="1"/>
    <col min="15" max="15" width="43.28515625" bestFit="1" customWidth="1"/>
    <col min="16" max="16" width="17.42578125" bestFit="1" customWidth="1"/>
    <col min="17" max="17" width="18.140625" bestFit="1" customWidth="1"/>
    <col min="18" max="18" width="12.5703125" bestFit="1" customWidth="1"/>
  </cols>
  <sheetData>
    <row r="1" spans="1:8" s="52" customFormat="1">
      <c r="A1" s="18" t="str">
        <f>_xlfn.CONCAT("Input - Medicine cost (Proposed Intervention):"," ",IF('Cover Page'!$D$16="Enter SMC number (e.g, SMC 0000)","",'Cover Page'!$D$16)," ",IF('Cover Page'!$D$14="Enter generic name","",'Cover Page'!$D$14)," ",IF('Cover Page'!$D$15="Enter brand name","",_xlfn.CONCAT("(",'Cover Page'!$D$15,")")))</f>
        <v>Input - Medicine cost (Proposed Intervention): SMC123# Empagumab (EXAMPLEBRANDNAME)</v>
      </c>
    </row>
    <row r="3" spans="1:8" ht="30" customHeight="1">
      <c r="A3" s="53" t="s">
        <v>36</v>
      </c>
      <c r="B3" s="102" t="s">
        <v>37</v>
      </c>
      <c r="C3" s="102"/>
      <c r="D3" s="102"/>
      <c r="E3" s="102"/>
      <c r="H3" s="54"/>
    </row>
    <row r="5" spans="1:8" ht="30" customHeight="1">
      <c r="A5" s="53" t="s">
        <v>38</v>
      </c>
      <c r="B5" s="102" t="s">
        <v>39</v>
      </c>
      <c r="C5" s="102"/>
      <c r="D5" s="102"/>
      <c r="E5" s="102"/>
    </row>
    <row r="6" spans="1:8">
      <c r="A6" s="2"/>
      <c r="B6" s="1"/>
      <c r="E6" s="1"/>
    </row>
    <row r="7" spans="1:8" ht="30" customHeight="1">
      <c r="A7" s="53" t="s">
        <v>40</v>
      </c>
      <c r="B7" s="102" t="s">
        <v>41</v>
      </c>
      <c r="C7" s="102"/>
      <c r="D7" s="102"/>
      <c r="E7" s="102"/>
    </row>
    <row r="8" spans="1:8">
      <c r="C8" s="1"/>
      <c r="D8" s="1"/>
      <c r="E8" s="1"/>
    </row>
    <row r="9" spans="1:8">
      <c r="A9" s="13" t="s">
        <v>42</v>
      </c>
      <c r="B9" s="54"/>
      <c r="E9" s="1"/>
    </row>
    <row r="10" spans="1:8">
      <c r="A10" s="45" t="s">
        <v>2</v>
      </c>
      <c r="B10" s="60">
        <v>0.05</v>
      </c>
      <c r="E10" s="1"/>
    </row>
    <row r="11" spans="1:8">
      <c r="A11" s="45" t="s">
        <v>43</v>
      </c>
      <c r="B11" s="60">
        <v>0.1</v>
      </c>
      <c r="E11" s="1"/>
    </row>
    <row r="12" spans="1:8">
      <c r="A12" s="45" t="s">
        <v>44</v>
      </c>
      <c r="B12" s="60">
        <v>0</v>
      </c>
      <c r="E12" s="1"/>
    </row>
    <row r="13" spans="1:8">
      <c r="A13" s="45" t="s">
        <v>45</v>
      </c>
      <c r="B13" s="60">
        <v>0</v>
      </c>
      <c r="E13" s="1"/>
    </row>
    <row r="14" spans="1:8">
      <c r="B14" s="55"/>
      <c r="E14" s="1"/>
    </row>
    <row r="15" spans="1:8">
      <c r="B15" s="55"/>
      <c r="E15" s="1"/>
    </row>
    <row r="16" spans="1:8">
      <c r="A16" s="13" t="s">
        <v>46</v>
      </c>
    </row>
    <row r="17" spans="1:17">
      <c r="B17" s="17" t="s">
        <v>47</v>
      </c>
      <c r="C17" s="100" t="s">
        <v>48</v>
      </c>
      <c r="D17" s="101"/>
      <c r="E17" s="17" t="s">
        <v>49</v>
      </c>
      <c r="F17" s="60">
        <v>0.8</v>
      </c>
      <c r="G17" s="1"/>
    </row>
    <row r="18" spans="1:17">
      <c r="B18" s="2"/>
      <c r="C18" s="1"/>
      <c r="D18" s="1"/>
      <c r="E18" s="2"/>
      <c r="F18" s="56"/>
      <c r="G18" s="1"/>
    </row>
    <row r="19" spans="1:17">
      <c r="A19" s="17" t="s">
        <v>50</v>
      </c>
      <c r="B19" s="17" t="s">
        <v>51</v>
      </c>
      <c r="C19" s="17" t="s">
        <v>52</v>
      </c>
      <c r="D19" s="17" t="s">
        <v>53</v>
      </c>
      <c r="E19" s="17" t="s">
        <v>54</v>
      </c>
      <c r="F19" s="17" t="s">
        <v>55</v>
      </c>
      <c r="G19" s="17" t="s">
        <v>56</v>
      </c>
      <c r="H19" s="17" t="s">
        <v>57</v>
      </c>
      <c r="I19" s="17" t="s">
        <v>58</v>
      </c>
      <c r="J19" s="17" t="s">
        <v>59</v>
      </c>
      <c r="K19" s="17" t="s">
        <v>60</v>
      </c>
      <c r="L19" s="17" t="s">
        <v>61</v>
      </c>
      <c r="M19" s="17" t="s">
        <v>62</v>
      </c>
      <c r="N19" s="17" t="s">
        <v>63</v>
      </c>
      <c r="O19" s="17" t="s">
        <v>64</v>
      </c>
      <c r="P19" s="17" t="s">
        <v>65</v>
      </c>
      <c r="Q19" s="17" t="s">
        <v>66</v>
      </c>
    </row>
    <row r="20" spans="1:17">
      <c r="A20" s="45" t="s">
        <v>2</v>
      </c>
      <c r="B20" s="45">
        <v>128</v>
      </c>
      <c r="C20" s="45">
        <v>50</v>
      </c>
      <c r="D20" s="45" t="s">
        <v>67</v>
      </c>
      <c r="E20" s="95">
        <v>15000</v>
      </c>
      <c r="F20" s="45">
        <v>150</v>
      </c>
      <c r="G20" s="60">
        <v>1</v>
      </c>
      <c r="H20" s="92">
        <f>IFERROR((E20/B20)*((F20*G20)/C20),"")</f>
        <v>351.5625</v>
      </c>
      <c r="I20" s="86">
        <f>IFERROR(VLOOKUP(A20,$A$10:$B$13,2,0),"")</f>
        <v>0.05</v>
      </c>
      <c r="J20" s="92">
        <f t="shared" ref="J20:J23" si="0">IFERROR(E20*(1-I20),"")</f>
        <v>14250</v>
      </c>
      <c r="K20" s="92">
        <f t="shared" ref="K20:K23" si="1">IFERROR(H20*(1-I20),"")</f>
        <v>333.984375</v>
      </c>
      <c r="L20" s="45">
        <v>1</v>
      </c>
      <c r="M20" s="45">
        <v>3</v>
      </c>
      <c r="N20" s="45">
        <v>365</v>
      </c>
      <c r="O20" s="61">
        <f>M20*N20</f>
        <v>1095</v>
      </c>
      <c r="P20" s="92">
        <f>IFERROR(O20*H20,"")</f>
        <v>384960.9375</v>
      </c>
      <c r="Q20" s="92">
        <f>IFERROR(O20*K20,"")</f>
        <v>365712.890625</v>
      </c>
    </row>
    <row r="21" spans="1:17">
      <c r="A21" s="45"/>
      <c r="B21" s="45"/>
      <c r="C21" s="45"/>
      <c r="D21" s="45"/>
      <c r="E21" s="95"/>
      <c r="F21" s="45"/>
      <c r="G21" s="60"/>
      <c r="H21" s="92" t="str">
        <f t="shared" ref="H21:H26" si="2">IFERROR((E21/B21)*((F21*G21)/C21),"")</f>
        <v/>
      </c>
      <c r="I21" s="86" t="str">
        <f t="shared" ref="I21:I26" si="3">IFERROR(VLOOKUP(A21,$A$10:$B$13,2,0),"")</f>
        <v/>
      </c>
      <c r="J21" s="92" t="str">
        <f t="shared" si="0"/>
        <v/>
      </c>
      <c r="K21" s="92" t="str">
        <f t="shared" si="1"/>
        <v/>
      </c>
      <c r="L21" s="45"/>
      <c r="M21" s="45"/>
      <c r="N21" s="45"/>
      <c r="O21" s="61">
        <f t="shared" ref="O21:O26" si="4">M21*N21</f>
        <v>0</v>
      </c>
      <c r="P21" s="92" t="str">
        <f>IFERROR(O21*H21,"")</f>
        <v/>
      </c>
      <c r="Q21" s="92" t="str">
        <f>IFERROR(O21*K21,"")</f>
        <v/>
      </c>
    </row>
    <row r="22" spans="1:17">
      <c r="A22" s="45"/>
      <c r="B22" s="45"/>
      <c r="C22" s="45"/>
      <c r="D22" s="45"/>
      <c r="E22" s="95"/>
      <c r="F22" s="45"/>
      <c r="G22" s="60"/>
      <c r="H22" s="92" t="str">
        <f t="shared" si="2"/>
        <v/>
      </c>
      <c r="I22" s="86" t="str">
        <f t="shared" si="3"/>
        <v/>
      </c>
      <c r="J22" s="92" t="str">
        <f t="shared" si="0"/>
        <v/>
      </c>
      <c r="K22" s="92" t="str">
        <f t="shared" si="1"/>
        <v/>
      </c>
      <c r="L22" s="45"/>
      <c r="M22" s="45"/>
      <c r="N22" s="45"/>
      <c r="O22" s="61">
        <f t="shared" si="4"/>
        <v>0</v>
      </c>
      <c r="P22" s="92" t="str">
        <f>IFERROR(O22*H22,"")</f>
        <v/>
      </c>
      <c r="Q22" s="92" t="str">
        <f>IFERROR(O22*K22,"")</f>
        <v/>
      </c>
    </row>
    <row r="23" spans="1:17">
      <c r="A23" s="45"/>
      <c r="B23" s="45"/>
      <c r="C23" s="45"/>
      <c r="D23" s="45"/>
      <c r="E23" s="95"/>
      <c r="F23" s="45"/>
      <c r="G23" s="60"/>
      <c r="H23" s="92" t="str">
        <f t="shared" si="2"/>
        <v/>
      </c>
      <c r="I23" s="86" t="str">
        <f t="shared" si="3"/>
        <v/>
      </c>
      <c r="J23" s="92" t="str">
        <f t="shared" si="0"/>
        <v/>
      </c>
      <c r="K23" s="92" t="str">
        <f t="shared" si="1"/>
        <v/>
      </c>
      <c r="L23" s="45"/>
      <c r="M23" s="45"/>
      <c r="N23" s="45"/>
      <c r="O23" s="61">
        <f t="shared" si="4"/>
        <v>0</v>
      </c>
      <c r="P23" s="92" t="str">
        <f>IFERROR(O23*H23,"")</f>
        <v/>
      </c>
      <c r="Q23" s="92" t="str">
        <f>IFERROR(O23*K23,"")</f>
        <v/>
      </c>
    </row>
    <row r="24" spans="1:17">
      <c r="A24" s="45"/>
      <c r="B24" s="45"/>
      <c r="C24" s="45"/>
      <c r="D24" s="45"/>
      <c r="E24" s="95"/>
      <c r="F24" s="45"/>
      <c r="G24" s="60"/>
      <c r="H24" s="92" t="str">
        <f t="shared" si="2"/>
        <v/>
      </c>
      <c r="I24" s="86" t="str">
        <f t="shared" si="3"/>
        <v/>
      </c>
      <c r="J24" s="92" t="str">
        <f>IFERROR(E24*(1-I24),"")</f>
        <v/>
      </c>
      <c r="K24" s="92" t="str">
        <f>IFERROR(H24*(1-I24),"")</f>
        <v/>
      </c>
      <c r="L24" s="45"/>
      <c r="M24" s="45"/>
      <c r="N24" s="45"/>
      <c r="O24" s="61">
        <f t="shared" si="4"/>
        <v>0</v>
      </c>
      <c r="P24" s="92" t="str">
        <f t="shared" ref="P24:P26" si="5">IFERROR(O24*H24,"")</f>
        <v/>
      </c>
      <c r="Q24" s="92" t="str">
        <f t="shared" ref="Q24:Q26" si="6">IFERROR(O24*K24,"")</f>
        <v/>
      </c>
    </row>
    <row r="25" spans="1:17">
      <c r="A25" s="45"/>
      <c r="B25" s="45"/>
      <c r="C25" s="45"/>
      <c r="D25" s="45"/>
      <c r="E25" s="95"/>
      <c r="F25" s="45"/>
      <c r="G25" s="60"/>
      <c r="H25" s="92" t="str">
        <f t="shared" si="2"/>
        <v/>
      </c>
      <c r="I25" s="86" t="str">
        <f t="shared" si="3"/>
        <v/>
      </c>
      <c r="J25" s="92" t="str">
        <f t="shared" ref="J25:J26" si="7">IFERROR(E25*(1-I25),"")</f>
        <v/>
      </c>
      <c r="K25" s="92" t="str">
        <f t="shared" ref="K25:K26" si="8">IFERROR(H25*(1-I25),"")</f>
        <v/>
      </c>
      <c r="L25" s="45"/>
      <c r="M25" s="45"/>
      <c r="N25" s="45"/>
      <c r="O25" s="61">
        <f t="shared" si="4"/>
        <v>0</v>
      </c>
      <c r="P25" s="92" t="str">
        <f t="shared" si="5"/>
        <v/>
      </c>
      <c r="Q25" s="92" t="str">
        <f t="shared" si="6"/>
        <v/>
      </c>
    </row>
    <row r="26" spans="1:17">
      <c r="A26" s="45"/>
      <c r="B26" s="45"/>
      <c r="C26" s="45"/>
      <c r="D26" s="45"/>
      <c r="E26" s="95"/>
      <c r="F26" s="45"/>
      <c r="G26" s="60"/>
      <c r="H26" s="92" t="str">
        <f t="shared" si="2"/>
        <v/>
      </c>
      <c r="I26" s="86" t="str">
        <f t="shared" si="3"/>
        <v/>
      </c>
      <c r="J26" s="92" t="str">
        <f t="shared" si="7"/>
        <v/>
      </c>
      <c r="K26" s="92" t="str">
        <f t="shared" si="8"/>
        <v/>
      </c>
      <c r="L26" s="45"/>
      <c r="M26" s="45"/>
      <c r="N26" s="45"/>
      <c r="O26" s="61">
        <f t="shared" si="4"/>
        <v>0</v>
      </c>
      <c r="P26" s="92" t="str">
        <f t="shared" si="5"/>
        <v/>
      </c>
      <c r="Q26" s="92" t="str">
        <f t="shared" si="6"/>
        <v/>
      </c>
    </row>
    <row r="27" spans="1:17">
      <c r="A27" s="57" t="s">
        <v>68</v>
      </c>
      <c r="B27" s="49"/>
      <c r="C27" s="49"/>
      <c r="D27" s="49"/>
      <c r="E27" s="49"/>
      <c r="F27" s="49"/>
      <c r="G27" s="49"/>
      <c r="H27" s="49"/>
      <c r="I27" s="49"/>
      <c r="J27" s="49"/>
      <c r="K27" s="49"/>
      <c r="L27" s="49"/>
      <c r="M27" s="49"/>
      <c r="N27" s="49"/>
      <c r="O27" s="49"/>
      <c r="P27" s="91">
        <f>SUM(P20:P26)</f>
        <v>384960.9375</v>
      </c>
      <c r="Q27" s="93"/>
    </row>
    <row r="28" spans="1:17">
      <c r="A28" s="58" t="s">
        <v>69</v>
      </c>
      <c r="B28" s="59"/>
      <c r="C28" s="59"/>
      <c r="D28" s="59"/>
      <c r="E28" s="59"/>
      <c r="F28" s="59"/>
      <c r="G28" s="59"/>
      <c r="H28" s="59"/>
      <c r="I28" s="59"/>
      <c r="J28" s="59"/>
      <c r="K28" s="59"/>
      <c r="L28" s="59"/>
      <c r="M28" s="59"/>
      <c r="N28" s="59"/>
      <c r="O28" s="59"/>
      <c r="P28" s="94"/>
      <c r="Q28" s="91">
        <f>SUM(Q20:Q26)</f>
        <v>365712.890625</v>
      </c>
    </row>
    <row r="30" spans="1:17">
      <c r="A30" s="13" t="s">
        <v>70</v>
      </c>
    </row>
    <row r="31" spans="1:17">
      <c r="B31" s="17" t="s">
        <v>47</v>
      </c>
      <c r="C31" s="100" t="s">
        <v>71</v>
      </c>
      <c r="D31" s="101"/>
      <c r="E31" s="17" t="s">
        <v>49</v>
      </c>
      <c r="F31" s="60">
        <v>0.2</v>
      </c>
      <c r="G31" s="1"/>
    </row>
    <row r="32" spans="1:17">
      <c r="A32" s="2"/>
      <c r="B32" s="2"/>
      <c r="C32" s="1"/>
      <c r="D32" s="1"/>
      <c r="E32" s="2"/>
      <c r="F32" s="56"/>
      <c r="G32" s="1"/>
    </row>
    <row r="33" spans="1:17">
      <c r="A33" s="17" t="s">
        <v>72</v>
      </c>
      <c r="B33" s="17" t="s">
        <v>51</v>
      </c>
      <c r="C33" s="17" t="s">
        <v>52</v>
      </c>
      <c r="D33" s="17" t="s">
        <v>53</v>
      </c>
      <c r="E33" s="17" t="s">
        <v>54</v>
      </c>
      <c r="F33" s="17" t="s">
        <v>55</v>
      </c>
      <c r="G33" s="17" t="s">
        <v>56</v>
      </c>
      <c r="H33" s="17" t="s">
        <v>57</v>
      </c>
      <c r="I33" s="17" t="s">
        <v>58</v>
      </c>
      <c r="J33" s="17" t="s">
        <v>59</v>
      </c>
      <c r="K33" s="17" t="s">
        <v>60</v>
      </c>
      <c r="L33" s="17" t="s">
        <v>61</v>
      </c>
      <c r="M33" s="17" t="s">
        <v>62</v>
      </c>
      <c r="N33" s="17" t="s">
        <v>63</v>
      </c>
      <c r="O33" s="17" t="s">
        <v>64</v>
      </c>
      <c r="P33" s="17" t="s">
        <v>65</v>
      </c>
      <c r="Q33" s="17" t="s">
        <v>66</v>
      </c>
    </row>
    <row r="34" spans="1:17">
      <c r="A34" s="45" t="s">
        <v>2</v>
      </c>
      <c r="B34" s="45">
        <v>128</v>
      </c>
      <c r="C34" s="45">
        <v>50</v>
      </c>
      <c r="D34" s="45" t="s">
        <v>67</v>
      </c>
      <c r="E34" s="95">
        <v>1500</v>
      </c>
      <c r="F34" s="45">
        <v>150</v>
      </c>
      <c r="G34" s="60">
        <v>1</v>
      </c>
      <c r="H34" s="92">
        <f>IFERROR((E34/B34)*((F34*G34)/C34),"")</f>
        <v>35.15625</v>
      </c>
      <c r="I34" s="86">
        <f>IFERROR(VLOOKUP(A34,$A$10:$B$13,2,0),"")</f>
        <v>0.05</v>
      </c>
      <c r="J34" s="92">
        <f t="shared" ref="J34:J37" si="9">IFERROR(E34*(1-I34),"")</f>
        <v>1425</v>
      </c>
      <c r="K34" s="92">
        <f t="shared" ref="K34:K37" si="10">IFERROR(H34*(1-I34),"")</f>
        <v>33.3984375</v>
      </c>
      <c r="L34" s="45">
        <v>1</v>
      </c>
      <c r="M34" s="45">
        <v>3</v>
      </c>
      <c r="N34" s="45">
        <v>365</v>
      </c>
      <c r="O34" s="61">
        <f>M34*N34</f>
        <v>1095</v>
      </c>
      <c r="P34" s="92">
        <f>IFERROR(O34*H34,"")</f>
        <v>38496.09375</v>
      </c>
      <c r="Q34" s="92">
        <f>IFERROR(O34*K34,"")</f>
        <v>36571.2890625</v>
      </c>
    </row>
    <row r="35" spans="1:17">
      <c r="A35" s="45" t="s">
        <v>43</v>
      </c>
      <c r="B35" s="45">
        <v>1</v>
      </c>
      <c r="C35" s="45">
        <v>1200</v>
      </c>
      <c r="D35" s="45" t="s">
        <v>67</v>
      </c>
      <c r="E35" s="95">
        <v>750</v>
      </c>
      <c r="F35" s="45">
        <v>1000</v>
      </c>
      <c r="G35" s="60">
        <v>1</v>
      </c>
      <c r="H35" s="92">
        <f t="shared" ref="H35:H40" si="11">IFERROR((E35/B35)*((F35*G35)/C35),"")</f>
        <v>625</v>
      </c>
      <c r="I35" s="86">
        <f t="shared" ref="I35:I40" si="12">IFERROR(VLOOKUP(A35,$A$10:$B$13,2,0),"")</f>
        <v>0.1</v>
      </c>
      <c r="J35" s="92">
        <f t="shared" si="9"/>
        <v>675</v>
      </c>
      <c r="K35" s="92">
        <f t="shared" si="10"/>
        <v>562.5</v>
      </c>
      <c r="L35" s="45">
        <v>56</v>
      </c>
      <c r="M35" s="45">
        <v>1</v>
      </c>
      <c r="N35" s="45">
        <v>6.5</v>
      </c>
      <c r="O35" s="61">
        <f t="shared" ref="O35:O40" si="13">M35*N35</f>
        <v>6.5</v>
      </c>
      <c r="P35" s="92">
        <f>IFERROR(O35*H35,"")</f>
        <v>4062.5</v>
      </c>
      <c r="Q35" s="92">
        <f>IFERROR(O35*K35,"")</f>
        <v>3656.25</v>
      </c>
    </row>
    <row r="36" spans="1:17">
      <c r="A36" s="45"/>
      <c r="B36" s="45"/>
      <c r="C36" s="45"/>
      <c r="D36" s="45"/>
      <c r="E36" s="95"/>
      <c r="F36" s="45"/>
      <c r="G36" s="60"/>
      <c r="H36" s="92" t="str">
        <f t="shared" si="11"/>
        <v/>
      </c>
      <c r="I36" s="86" t="str">
        <f t="shared" si="12"/>
        <v/>
      </c>
      <c r="J36" s="92" t="str">
        <f t="shared" si="9"/>
        <v/>
      </c>
      <c r="K36" s="92" t="str">
        <f t="shared" si="10"/>
        <v/>
      </c>
      <c r="L36" s="45"/>
      <c r="M36" s="45"/>
      <c r="N36" s="45"/>
      <c r="O36" s="61">
        <f t="shared" si="13"/>
        <v>0</v>
      </c>
      <c r="P36" s="92" t="str">
        <f>IFERROR(O36*H36,"")</f>
        <v/>
      </c>
      <c r="Q36" s="92" t="str">
        <f>IFERROR(O36*K36,"")</f>
        <v/>
      </c>
    </row>
    <row r="37" spans="1:17">
      <c r="A37" s="45"/>
      <c r="B37" s="45"/>
      <c r="C37" s="45"/>
      <c r="D37" s="45"/>
      <c r="E37" s="95"/>
      <c r="F37" s="45"/>
      <c r="G37" s="60"/>
      <c r="H37" s="92" t="str">
        <f t="shared" si="11"/>
        <v/>
      </c>
      <c r="I37" s="86" t="str">
        <f t="shared" si="12"/>
        <v/>
      </c>
      <c r="J37" s="92" t="str">
        <f t="shared" si="9"/>
        <v/>
      </c>
      <c r="K37" s="92" t="str">
        <f t="shared" si="10"/>
        <v/>
      </c>
      <c r="L37" s="45"/>
      <c r="M37" s="45"/>
      <c r="N37" s="45"/>
      <c r="O37" s="61">
        <f t="shared" si="13"/>
        <v>0</v>
      </c>
      <c r="P37" s="92" t="str">
        <f>IFERROR(O37*H37,"")</f>
        <v/>
      </c>
      <c r="Q37" s="92" t="str">
        <f>IFERROR(O37*K37,"")</f>
        <v/>
      </c>
    </row>
    <row r="38" spans="1:17">
      <c r="A38" s="45"/>
      <c r="B38" s="45"/>
      <c r="C38" s="45"/>
      <c r="D38" s="45"/>
      <c r="E38" s="95"/>
      <c r="F38" s="45"/>
      <c r="G38" s="60"/>
      <c r="H38" s="92" t="str">
        <f t="shared" si="11"/>
        <v/>
      </c>
      <c r="I38" s="86" t="str">
        <f t="shared" si="12"/>
        <v/>
      </c>
      <c r="J38" s="92" t="str">
        <f>IFERROR(E38*(1-I38),"")</f>
        <v/>
      </c>
      <c r="K38" s="92" t="str">
        <f>IFERROR(H38*(1-I38),"")</f>
        <v/>
      </c>
      <c r="L38" s="45"/>
      <c r="M38" s="45"/>
      <c r="N38" s="45"/>
      <c r="O38" s="61">
        <f t="shared" si="13"/>
        <v>0</v>
      </c>
      <c r="P38" s="92" t="str">
        <f t="shared" ref="P38:P40" si="14">IFERROR(O38*H38,"")</f>
        <v/>
      </c>
      <c r="Q38" s="92" t="str">
        <f t="shared" ref="Q38:Q40" si="15">IFERROR(O38*K38,"")</f>
        <v/>
      </c>
    </row>
    <row r="39" spans="1:17">
      <c r="A39" s="45"/>
      <c r="B39" s="45"/>
      <c r="C39" s="45"/>
      <c r="D39" s="45"/>
      <c r="E39" s="95"/>
      <c r="F39" s="45"/>
      <c r="G39" s="60"/>
      <c r="H39" s="92" t="str">
        <f t="shared" si="11"/>
        <v/>
      </c>
      <c r="I39" s="86" t="str">
        <f t="shared" si="12"/>
        <v/>
      </c>
      <c r="J39" s="92" t="str">
        <f t="shared" ref="J39:J40" si="16">IFERROR(E39*(1-I39),"")</f>
        <v/>
      </c>
      <c r="K39" s="92" t="str">
        <f t="shared" ref="K39:K40" si="17">IFERROR(H39*(1-I39),"")</f>
        <v/>
      </c>
      <c r="L39" s="45"/>
      <c r="M39" s="45"/>
      <c r="N39" s="45"/>
      <c r="O39" s="61">
        <f t="shared" si="13"/>
        <v>0</v>
      </c>
      <c r="P39" s="92" t="str">
        <f t="shared" si="14"/>
        <v/>
      </c>
      <c r="Q39" s="92" t="str">
        <f t="shared" si="15"/>
        <v/>
      </c>
    </row>
    <row r="40" spans="1:17">
      <c r="A40" s="45"/>
      <c r="B40" s="45"/>
      <c r="C40" s="45"/>
      <c r="D40" s="45"/>
      <c r="E40" s="95"/>
      <c r="F40" s="45"/>
      <c r="G40" s="60"/>
      <c r="H40" s="92" t="str">
        <f t="shared" si="11"/>
        <v/>
      </c>
      <c r="I40" s="86" t="str">
        <f t="shared" si="12"/>
        <v/>
      </c>
      <c r="J40" s="92" t="str">
        <f t="shared" si="16"/>
        <v/>
      </c>
      <c r="K40" s="92" t="str">
        <f t="shared" si="17"/>
        <v/>
      </c>
      <c r="L40" s="45"/>
      <c r="M40" s="45"/>
      <c r="N40" s="45"/>
      <c r="O40" s="61">
        <f t="shared" si="13"/>
        <v>0</v>
      </c>
      <c r="P40" s="92" t="str">
        <f t="shared" si="14"/>
        <v/>
      </c>
      <c r="Q40" s="92" t="str">
        <f t="shared" si="15"/>
        <v/>
      </c>
    </row>
    <row r="41" spans="1:17">
      <c r="A41" s="57" t="s">
        <v>68</v>
      </c>
      <c r="B41" s="49"/>
      <c r="C41" s="49"/>
      <c r="D41" s="49"/>
      <c r="E41" s="49"/>
      <c r="F41" s="49"/>
      <c r="G41" s="49"/>
      <c r="H41" s="49"/>
      <c r="I41" s="49"/>
      <c r="J41" s="49"/>
      <c r="K41" s="49"/>
      <c r="L41" s="49"/>
      <c r="M41" s="49"/>
      <c r="N41" s="49"/>
      <c r="O41" s="49"/>
      <c r="P41" s="91">
        <f>SUM(P34:P40)</f>
        <v>42558.59375</v>
      </c>
      <c r="Q41" s="93"/>
    </row>
    <row r="42" spans="1:17">
      <c r="A42" s="58" t="s">
        <v>69</v>
      </c>
      <c r="B42" s="59"/>
      <c r="C42" s="59"/>
      <c r="D42" s="59"/>
      <c r="E42" s="59"/>
      <c r="F42" s="59"/>
      <c r="G42" s="59"/>
      <c r="H42" s="59"/>
      <c r="I42" s="59"/>
      <c r="J42" s="59"/>
      <c r="K42" s="59"/>
      <c r="L42" s="59"/>
      <c r="M42" s="59"/>
      <c r="N42" s="59"/>
      <c r="O42" s="59"/>
      <c r="P42" s="94"/>
      <c r="Q42" s="91">
        <f>SUM(Q34:Q40)</f>
        <v>40227.5390625</v>
      </c>
    </row>
    <row r="44" spans="1:17">
      <c r="A44" s="13" t="s">
        <v>73</v>
      </c>
    </row>
    <row r="45" spans="1:17">
      <c r="B45" s="17" t="s">
        <v>47</v>
      </c>
      <c r="C45" s="100" t="s">
        <v>74</v>
      </c>
      <c r="D45" s="101"/>
      <c r="E45" s="17" t="s">
        <v>49</v>
      </c>
      <c r="F45" s="60">
        <v>0</v>
      </c>
      <c r="G45" s="1"/>
    </row>
    <row r="46" spans="1:17">
      <c r="B46" s="2"/>
      <c r="C46" s="1"/>
      <c r="D46" s="1"/>
      <c r="E46" s="2"/>
      <c r="F46" s="56"/>
      <c r="G46" s="1"/>
    </row>
    <row r="47" spans="1:17">
      <c r="A47" s="17" t="s">
        <v>72</v>
      </c>
      <c r="B47" s="17" t="s">
        <v>51</v>
      </c>
      <c r="C47" s="17" t="s">
        <v>52</v>
      </c>
      <c r="D47" s="17" t="s">
        <v>53</v>
      </c>
      <c r="E47" s="17" t="s">
        <v>54</v>
      </c>
      <c r="F47" s="17" t="s">
        <v>75</v>
      </c>
      <c r="G47" s="17" t="s">
        <v>56</v>
      </c>
      <c r="H47" s="17" t="s">
        <v>57</v>
      </c>
      <c r="I47" s="17" t="s">
        <v>58</v>
      </c>
      <c r="J47" s="17" t="s">
        <v>59</v>
      </c>
      <c r="K47" s="17" t="s">
        <v>60</v>
      </c>
      <c r="L47" s="17" t="s">
        <v>61</v>
      </c>
      <c r="M47" s="17" t="s">
        <v>62</v>
      </c>
      <c r="N47" s="17" t="s">
        <v>63</v>
      </c>
      <c r="O47" s="17" t="s">
        <v>64</v>
      </c>
      <c r="P47" s="17" t="s">
        <v>65</v>
      </c>
      <c r="Q47" s="17" t="s">
        <v>66</v>
      </c>
    </row>
    <row r="48" spans="1:17">
      <c r="A48" s="45"/>
      <c r="B48" s="45"/>
      <c r="C48" s="45"/>
      <c r="D48" s="45"/>
      <c r="E48" s="95"/>
      <c r="F48" s="45"/>
      <c r="G48" s="60"/>
      <c r="H48" s="92" t="str">
        <f>IFERROR((E48/B48)*((F48*G48)/C48),"")</f>
        <v/>
      </c>
      <c r="I48" s="86" t="str">
        <f>IFERROR(VLOOKUP(A48,$A$10:$B$13,2,0),"")</f>
        <v/>
      </c>
      <c r="J48" s="92" t="str">
        <f t="shared" ref="J48:J51" si="18">IFERROR(E48*(1-I48),"")</f>
        <v/>
      </c>
      <c r="K48" s="92" t="str">
        <f t="shared" ref="K48:K51" si="19">IFERROR(H48*(1-I48),"")</f>
        <v/>
      </c>
      <c r="L48" s="45"/>
      <c r="M48" s="45"/>
      <c r="N48" s="45"/>
      <c r="O48" s="61">
        <f>M48*N48</f>
        <v>0</v>
      </c>
      <c r="P48" s="92" t="str">
        <f>IFERROR(O48*H48,"")</f>
        <v/>
      </c>
      <c r="Q48" s="92" t="str">
        <f>IFERROR(O48*K48,"")</f>
        <v/>
      </c>
    </row>
    <row r="49" spans="1:17">
      <c r="A49" s="45"/>
      <c r="B49" s="45"/>
      <c r="C49" s="45"/>
      <c r="D49" s="45"/>
      <c r="E49" s="95"/>
      <c r="F49" s="45"/>
      <c r="G49" s="60"/>
      <c r="H49" s="92" t="str">
        <f t="shared" ref="H49:H54" si="20">IFERROR((E49/B49)*((F49*G49)/C49),"")</f>
        <v/>
      </c>
      <c r="I49" s="86" t="str">
        <f t="shared" ref="I49:I54" si="21">IFERROR(VLOOKUP(A49,$A$10:$B$13,2,0),"")</f>
        <v/>
      </c>
      <c r="J49" s="92" t="str">
        <f t="shared" si="18"/>
        <v/>
      </c>
      <c r="K49" s="92" t="str">
        <f t="shared" si="19"/>
        <v/>
      </c>
      <c r="L49" s="45"/>
      <c r="M49" s="45"/>
      <c r="N49" s="45"/>
      <c r="O49" s="61">
        <f t="shared" ref="O49:O54" si="22">M49*N49</f>
        <v>0</v>
      </c>
      <c r="P49" s="92" t="str">
        <f>IFERROR(O49*H49,"")</f>
        <v/>
      </c>
      <c r="Q49" s="92" t="str">
        <f>IFERROR(O49*K49,"")</f>
        <v/>
      </c>
    </row>
    <row r="50" spans="1:17">
      <c r="A50" s="45"/>
      <c r="B50" s="45"/>
      <c r="C50" s="45"/>
      <c r="D50" s="45"/>
      <c r="E50" s="95"/>
      <c r="F50" s="45"/>
      <c r="G50" s="60"/>
      <c r="H50" s="92" t="str">
        <f t="shared" si="20"/>
        <v/>
      </c>
      <c r="I50" s="86" t="str">
        <f t="shared" si="21"/>
        <v/>
      </c>
      <c r="J50" s="92" t="str">
        <f t="shared" si="18"/>
        <v/>
      </c>
      <c r="K50" s="92" t="str">
        <f t="shared" si="19"/>
        <v/>
      </c>
      <c r="L50" s="45"/>
      <c r="M50" s="45"/>
      <c r="N50" s="45"/>
      <c r="O50" s="61">
        <f t="shared" si="22"/>
        <v>0</v>
      </c>
      <c r="P50" s="92" t="str">
        <f>IFERROR(O50*H50,"")</f>
        <v/>
      </c>
      <c r="Q50" s="92" t="str">
        <f>IFERROR(O50*K50,"")</f>
        <v/>
      </c>
    </row>
    <row r="51" spans="1:17">
      <c r="A51" s="45"/>
      <c r="B51" s="45"/>
      <c r="C51" s="45"/>
      <c r="D51" s="45"/>
      <c r="E51" s="95"/>
      <c r="F51" s="45"/>
      <c r="G51" s="60"/>
      <c r="H51" s="92" t="str">
        <f t="shared" si="20"/>
        <v/>
      </c>
      <c r="I51" s="86" t="str">
        <f t="shared" si="21"/>
        <v/>
      </c>
      <c r="J51" s="92" t="str">
        <f t="shared" si="18"/>
        <v/>
      </c>
      <c r="K51" s="92" t="str">
        <f t="shared" si="19"/>
        <v/>
      </c>
      <c r="L51" s="45"/>
      <c r="M51" s="45"/>
      <c r="N51" s="45"/>
      <c r="O51" s="61">
        <f t="shared" si="22"/>
        <v>0</v>
      </c>
      <c r="P51" s="92" t="str">
        <f>IFERROR(O51*H51,"")</f>
        <v/>
      </c>
      <c r="Q51" s="92" t="str">
        <f>IFERROR(O51*K51,"")</f>
        <v/>
      </c>
    </row>
    <row r="52" spans="1:17">
      <c r="A52" s="45"/>
      <c r="B52" s="45"/>
      <c r="C52" s="45"/>
      <c r="D52" s="45"/>
      <c r="E52" s="95"/>
      <c r="F52" s="45"/>
      <c r="G52" s="60"/>
      <c r="H52" s="92" t="str">
        <f t="shared" si="20"/>
        <v/>
      </c>
      <c r="I52" s="86" t="str">
        <f t="shared" si="21"/>
        <v/>
      </c>
      <c r="J52" s="92" t="str">
        <f>IFERROR(E52*(1-I52),"")</f>
        <v/>
      </c>
      <c r="K52" s="92" t="str">
        <f>IFERROR(H52*(1-I52),"")</f>
        <v/>
      </c>
      <c r="L52" s="45"/>
      <c r="M52" s="45"/>
      <c r="N52" s="45"/>
      <c r="O52" s="61">
        <f t="shared" si="22"/>
        <v>0</v>
      </c>
      <c r="P52" s="92" t="str">
        <f t="shared" ref="P52:P54" si="23">IFERROR(O52*H52,"")</f>
        <v/>
      </c>
      <c r="Q52" s="92" t="str">
        <f t="shared" ref="Q52:Q54" si="24">IFERROR(O52*K52,"")</f>
        <v/>
      </c>
    </row>
    <row r="53" spans="1:17">
      <c r="A53" s="45"/>
      <c r="B53" s="45"/>
      <c r="C53" s="45"/>
      <c r="D53" s="45"/>
      <c r="E53" s="95"/>
      <c r="F53" s="45"/>
      <c r="G53" s="60"/>
      <c r="H53" s="92" t="str">
        <f t="shared" si="20"/>
        <v/>
      </c>
      <c r="I53" s="86" t="str">
        <f t="shared" si="21"/>
        <v/>
      </c>
      <c r="J53" s="92" t="str">
        <f t="shared" ref="J53:J54" si="25">IFERROR(E53*(1-I53),"")</f>
        <v/>
      </c>
      <c r="K53" s="92" t="str">
        <f t="shared" ref="K53:K54" si="26">IFERROR(H53*(1-I53),"")</f>
        <v/>
      </c>
      <c r="L53" s="45"/>
      <c r="M53" s="45"/>
      <c r="N53" s="45"/>
      <c r="O53" s="61">
        <f t="shared" si="22"/>
        <v>0</v>
      </c>
      <c r="P53" s="92" t="str">
        <f t="shared" si="23"/>
        <v/>
      </c>
      <c r="Q53" s="92" t="str">
        <f t="shared" si="24"/>
        <v/>
      </c>
    </row>
    <row r="54" spans="1:17">
      <c r="A54" s="45"/>
      <c r="B54" s="45"/>
      <c r="C54" s="45"/>
      <c r="D54" s="45"/>
      <c r="E54" s="95"/>
      <c r="F54" s="45"/>
      <c r="G54" s="60"/>
      <c r="H54" s="92" t="str">
        <f t="shared" si="20"/>
        <v/>
      </c>
      <c r="I54" s="86" t="str">
        <f t="shared" si="21"/>
        <v/>
      </c>
      <c r="J54" s="92" t="str">
        <f t="shared" si="25"/>
        <v/>
      </c>
      <c r="K54" s="92" t="str">
        <f t="shared" si="26"/>
        <v/>
      </c>
      <c r="L54" s="45"/>
      <c r="M54" s="45"/>
      <c r="N54" s="45"/>
      <c r="O54" s="61">
        <f t="shared" si="22"/>
        <v>0</v>
      </c>
      <c r="P54" s="92" t="str">
        <f t="shared" si="23"/>
        <v/>
      </c>
      <c r="Q54" s="92" t="str">
        <f t="shared" si="24"/>
        <v/>
      </c>
    </row>
    <row r="55" spans="1:17">
      <c r="A55" s="57" t="s">
        <v>68</v>
      </c>
      <c r="B55" s="49"/>
      <c r="C55" s="49"/>
      <c r="D55" s="49"/>
      <c r="E55" s="49"/>
      <c r="F55" s="49"/>
      <c r="G55" s="49"/>
      <c r="H55" s="49"/>
      <c r="I55" s="49"/>
      <c r="J55" s="49"/>
      <c r="K55" s="49"/>
      <c r="L55" s="49"/>
      <c r="M55" s="49"/>
      <c r="N55" s="49"/>
      <c r="O55" s="49"/>
      <c r="P55" s="91">
        <f>SUM(P48:P54)</f>
        <v>0</v>
      </c>
      <c r="Q55" s="93"/>
    </row>
    <row r="56" spans="1:17">
      <c r="A56" s="58" t="s">
        <v>69</v>
      </c>
      <c r="B56" s="59"/>
      <c r="C56" s="59"/>
      <c r="D56" s="59"/>
      <c r="E56" s="59"/>
      <c r="F56" s="59"/>
      <c r="G56" s="59"/>
      <c r="H56" s="59"/>
      <c r="I56" s="59"/>
      <c r="J56" s="59"/>
      <c r="K56" s="59"/>
      <c r="L56" s="59"/>
      <c r="M56" s="59"/>
      <c r="N56" s="59"/>
      <c r="O56" s="59"/>
      <c r="P56" s="94"/>
      <c r="Q56" s="91">
        <f>SUM(Q48:Q54)</f>
        <v>0</v>
      </c>
    </row>
    <row r="57" spans="1:17">
      <c r="A57" s="2"/>
      <c r="Q57" s="2"/>
    </row>
    <row r="58" spans="1:17">
      <c r="Q58" s="2"/>
    </row>
    <row r="59" spans="1:17">
      <c r="A59" s="13" t="s">
        <v>76</v>
      </c>
    </row>
    <row r="60" spans="1:17">
      <c r="A60" s="57" t="s">
        <v>77</v>
      </c>
      <c r="B60" s="49"/>
      <c r="C60" s="49"/>
      <c r="D60" s="49"/>
      <c r="E60" s="49"/>
      <c r="F60" s="49"/>
      <c r="G60" s="49"/>
      <c r="H60" s="49"/>
      <c r="I60" s="49"/>
      <c r="J60" s="49"/>
      <c r="K60" s="49"/>
      <c r="L60" s="49"/>
      <c r="M60" s="49"/>
      <c r="N60" s="49"/>
      <c r="O60" s="49"/>
      <c r="P60" s="91">
        <f>P27*F17+P41*F31+P55*F45</f>
        <v>316480.46875</v>
      </c>
      <c r="Q60" s="93"/>
    </row>
    <row r="61" spans="1:17">
      <c r="A61" s="58" t="s">
        <v>78</v>
      </c>
      <c r="B61" s="59"/>
      <c r="C61" s="59"/>
      <c r="D61" s="59"/>
      <c r="E61" s="59"/>
      <c r="F61" s="59"/>
      <c r="G61" s="59"/>
      <c r="H61" s="59"/>
      <c r="I61" s="59"/>
      <c r="J61" s="59"/>
      <c r="K61" s="59"/>
      <c r="L61" s="59"/>
      <c r="M61" s="59"/>
      <c r="N61" s="59"/>
      <c r="O61" s="59"/>
      <c r="P61" s="94"/>
      <c r="Q61" s="91">
        <f>Q28*F17+Q42*F31+Q56*F45</f>
        <v>300615.8203125</v>
      </c>
    </row>
  </sheetData>
  <sheetProtection algorithmName="SHA-512" hashValue="vUevFi10A+8pnawRqDb/VeJTIgnY73AWgpdFHcntX4orzr+bUa+jztUHKYGLEP3AEwWUfG5ATweuxZotoLjYbQ==" saltValue="kdXxNCKMaphsjEumbeJUlw==" spinCount="100000" sheet="1" formatCells="0" formatColumns="0" formatRows="0" insertHyperlinks="0" sort="0" autoFilter="0" pivotTables="0"/>
  <mergeCells count="6">
    <mergeCell ref="C45:D45"/>
    <mergeCell ref="B7:E7"/>
    <mergeCell ref="C17:D17"/>
    <mergeCell ref="C31:D31"/>
    <mergeCell ref="B3:E3"/>
    <mergeCell ref="B5:E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BA9C319-2BE1-47A7-9DB7-DD94A53BFCE4}">
          <x14:formula1>
            <xm:f>'Engine (Calcs and lists)'!$O$2:$O$6</xm:f>
          </x14:formula1>
          <xm:sqref>D20:D26 D34:D40 D48:D54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28"/>
  <sheetViews>
    <sheetView showGridLines="0" showRowColHeaders="0" zoomScale="85" zoomScaleNormal="85" workbookViewId="0">
      <selection activeCell="E28" sqref="E28"/>
    </sheetView>
  </sheetViews>
  <sheetFormatPr defaultRowHeight="15"/>
  <cols>
    <col min="1" max="1" width="41.140625" bestFit="1" customWidth="1"/>
    <col min="2" max="2" width="20" bestFit="1" customWidth="1"/>
    <col min="3" max="3" width="20.42578125" bestFit="1" customWidth="1"/>
    <col min="4" max="4" width="20.42578125" customWidth="1"/>
    <col min="5" max="5" width="27" bestFit="1" customWidth="1"/>
    <col min="6" max="6" width="24.140625" bestFit="1" customWidth="1"/>
    <col min="7" max="7" width="8.140625" bestFit="1" customWidth="1"/>
    <col min="8" max="8" width="30.85546875" bestFit="1" customWidth="1"/>
    <col min="9" max="9" width="12.42578125" bestFit="1" customWidth="1"/>
    <col min="10" max="10" width="18.42578125" bestFit="1" customWidth="1"/>
    <col min="11" max="11" width="27.5703125" bestFit="1" customWidth="1"/>
    <col min="12" max="12" width="30.85546875" bestFit="1" customWidth="1"/>
    <col min="13" max="13" width="24.85546875" bestFit="1" customWidth="1"/>
    <col min="14" max="14" width="34.140625" bestFit="1" customWidth="1"/>
    <col min="15" max="15" width="43.140625" bestFit="1" customWidth="1"/>
    <col min="16" max="16" width="17.42578125" bestFit="1" customWidth="1"/>
    <col min="17" max="17" width="18.140625" bestFit="1" customWidth="1"/>
    <col min="18" max="18" width="12.5703125" bestFit="1" customWidth="1"/>
  </cols>
  <sheetData>
    <row r="1" spans="1:8" s="18" customFormat="1">
      <c r="A1" s="18" t="str">
        <f>_xlfn.CONCAT("Input - Medicine cost (Comparator(s)):"," ",IF('Cover Page'!$D$16="Enter SMC number (e.g, SMC 0000)","",'Cover Page'!$D$16)," ",IF('Cover Page'!$D$14="Enter generic name","",'Cover Page'!$D$14)," ",IF('Cover Page'!$D$15="Enter brand name","",_xlfn.CONCAT("(",'Cover Page'!$D$15,")")))</f>
        <v>Input - Medicine cost (Comparator(s)): SMC123# Empagumab (EXAMPLEBRANDNAME)</v>
      </c>
    </row>
    <row r="3" spans="1:8" ht="49.5" customHeight="1">
      <c r="A3" s="62" t="s">
        <v>79</v>
      </c>
      <c r="B3" s="107" t="s">
        <v>80</v>
      </c>
      <c r="C3" s="107"/>
      <c r="D3" s="107"/>
      <c r="E3" s="107"/>
      <c r="H3" s="54"/>
    </row>
    <row r="4" spans="1:8">
      <c r="A4" s="2"/>
      <c r="C4" s="63"/>
      <c r="D4" s="63"/>
      <c r="E4" s="1"/>
      <c r="H4" s="3"/>
    </row>
    <row r="5" spans="1:8" ht="30" customHeight="1">
      <c r="A5" s="62" t="s">
        <v>40</v>
      </c>
      <c r="B5" s="107" t="s">
        <v>81</v>
      </c>
      <c r="C5" s="107"/>
      <c r="D5" s="107"/>
      <c r="E5" s="107"/>
      <c r="H5" s="54"/>
    </row>
    <row r="7" spans="1:8">
      <c r="A7" s="13" t="s">
        <v>82</v>
      </c>
      <c r="B7" s="2"/>
      <c r="C7" s="54"/>
      <c r="D7" s="54"/>
    </row>
    <row r="8" spans="1:8">
      <c r="A8" s="45" t="s">
        <v>83</v>
      </c>
      <c r="B8" s="60">
        <v>0.05</v>
      </c>
    </row>
    <row r="9" spans="1:8">
      <c r="A9" s="45" t="s">
        <v>84</v>
      </c>
      <c r="B9" s="60">
        <v>0.1</v>
      </c>
    </row>
    <row r="10" spans="1:8">
      <c r="A10" s="45" t="s">
        <v>85</v>
      </c>
      <c r="B10" s="60">
        <v>0.15</v>
      </c>
    </row>
    <row r="11" spans="1:8">
      <c r="A11" s="45" t="s">
        <v>86</v>
      </c>
      <c r="B11" s="60">
        <v>0.2</v>
      </c>
    </row>
    <row r="12" spans="1:8">
      <c r="A12" s="45" t="s">
        <v>87</v>
      </c>
      <c r="B12" s="60">
        <v>0</v>
      </c>
    </row>
    <row r="13" spans="1:8">
      <c r="A13" s="45" t="s">
        <v>88</v>
      </c>
      <c r="B13" s="60">
        <v>0</v>
      </c>
    </row>
    <row r="15" spans="1:8">
      <c r="A15" s="64" t="s">
        <v>89</v>
      </c>
    </row>
    <row r="16" spans="1:8" s="9" customFormat="1"/>
    <row r="18" spans="1:17">
      <c r="A18" s="16" t="s">
        <v>90</v>
      </c>
    </row>
    <row r="19" spans="1:17">
      <c r="A19" s="17" t="s">
        <v>91</v>
      </c>
      <c r="B19" s="100" t="s">
        <v>92</v>
      </c>
      <c r="C19" s="103"/>
      <c r="D19" s="103"/>
      <c r="E19" s="101"/>
    </row>
    <row r="20" spans="1:17">
      <c r="A20" s="2"/>
      <c r="B20" s="25"/>
      <c r="E20" s="2"/>
      <c r="H20" s="65"/>
    </row>
    <row r="21" spans="1:17">
      <c r="A21" s="17" t="s">
        <v>93</v>
      </c>
      <c r="B21" s="60">
        <v>0.25</v>
      </c>
      <c r="E21" s="2"/>
      <c r="H21" s="65"/>
    </row>
    <row r="22" spans="1:17">
      <c r="B22" s="19"/>
    </row>
    <row r="23" spans="1:17" ht="60" customHeight="1">
      <c r="A23" s="17" t="s">
        <v>38</v>
      </c>
      <c r="B23" s="110" t="s">
        <v>94</v>
      </c>
      <c r="C23" s="111"/>
      <c r="D23" s="111"/>
      <c r="E23" s="112"/>
    </row>
    <row r="24" spans="1:17">
      <c r="B24" s="51"/>
    </row>
    <row r="25" spans="1:17" ht="171.75" customHeight="1">
      <c r="A25" s="17" t="s">
        <v>46</v>
      </c>
      <c r="B25" s="17" t="s">
        <v>47</v>
      </c>
      <c r="C25" s="108" t="s">
        <v>95</v>
      </c>
      <c r="D25" s="109"/>
      <c r="E25" s="17" t="s">
        <v>49</v>
      </c>
      <c r="F25" s="60">
        <v>0.55000000000000004</v>
      </c>
      <c r="G25" s="1"/>
    </row>
    <row r="26" spans="1:17">
      <c r="A26" s="2"/>
      <c r="B26" s="2"/>
      <c r="C26" s="1"/>
      <c r="D26" s="1"/>
      <c r="E26" s="2"/>
      <c r="F26" s="56"/>
      <c r="G26" s="1"/>
    </row>
    <row r="27" spans="1:17">
      <c r="A27" s="17" t="s">
        <v>50</v>
      </c>
      <c r="B27" s="17" t="s">
        <v>51</v>
      </c>
      <c r="C27" s="17" t="s">
        <v>52</v>
      </c>
      <c r="D27" s="17" t="s">
        <v>53</v>
      </c>
      <c r="E27" s="17" t="s">
        <v>54</v>
      </c>
      <c r="F27" s="17" t="s">
        <v>55</v>
      </c>
      <c r="G27" s="17" t="s">
        <v>56</v>
      </c>
      <c r="H27" s="17" t="s">
        <v>57</v>
      </c>
      <c r="I27" s="17" t="s">
        <v>58</v>
      </c>
      <c r="J27" s="17" t="s">
        <v>59</v>
      </c>
      <c r="K27" s="17" t="s">
        <v>60</v>
      </c>
      <c r="L27" s="17" t="s">
        <v>61</v>
      </c>
      <c r="M27" s="17" t="s">
        <v>62</v>
      </c>
      <c r="N27" s="17" t="s">
        <v>63</v>
      </c>
      <c r="O27" s="17" t="s">
        <v>64</v>
      </c>
      <c r="P27" s="17" t="s">
        <v>65</v>
      </c>
      <c r="Q27" s="17" t="s">
        <v>66</v>
      </c>
    </row>
    <row r="28" spans="1:17">
      <c r="A28" s="45" t="s">
        <v>83</v>
      </c>
      <c r="B28" s="45">
        <v>1</v>
      </c>
      <c r="C28" s="45">
        <v>500</v>
      </c>
      <c r="D28" s="45" t="s">
        <v>67</v>
      </c>
      <c r="E28" s="95">
        <v>600</v>
      </c>
      <c r="F28" s="45">
        <v>2000</v>
      </c>
      <c r="G28" s="60">
        <v>1</v>
      </c>
      <c r="H28" s="92">
        <f>IFERROR((E28/B28)*((F28*G28)/C28),"")</f>
        <v>2400</v>
      </c>
      <c r="I28" s="86">
        <f>IFERROR(VLOOKUP(A28,$A$8:$B$13,2,0),"")</f>
        <v>0.05</v>
      </c>
      <c r="J28" s="92">
        <f>IFERROR(E28*(1-I28),"")</f>
        <v>570</v>
      </c>
      <c r="K28" s="92">
        <f>IFERROR(H28*(1-I28),"")</f>
        <v>2280</v>
      </c>
      <c r="L28" s="45">
        <v>21</v>
      </c>
      <c r="M28" s="45">
        <v>1</v>
      </c>
      <c r="N28" s="45">
        <v>8</v>
      </c>
      <c r="O28" s="61">
        <f>M28*N28</f>
        <v>8</v>
      </c>
      <c r="P28" s="92">
        <f>IFERROR(O28*H28,"")</f>
        <v>19200</v>
      </c>
      <c r="Q28" s="92">
        <f>IFERROR(O28*K28,"")</f>
        <v>18240</v>
      </c>
    </row>
    <row r="29" spans="1:17">
      <c r="A29" s="45" t="s">
        <v>84</v>
      </c>
      <c r="B29" s="45">
        <v>1</v>
      </c>
      <c r="C29" s="45">
        <v>1000</v>
      </c>
      <c r="D29" s="45" t="s">
        <v>67</v>
      </c>
      <c r="E29" s="95">
        <v>25</v>
      </c>
      <c r="F29" s="45">
        <v>1740</v>
      </c>
      <c r="G29" s="60">
        <v>1</v>
      </c>
      <c r="H29" s="92">
        <f t="shared" ref="H29:H34" si="0">IFERROR((E29/B29)*((F29*G29)/C29),"")</f>
        <v>43.5</v>
      </c>
      <c r="I29" s="86">
        <f t="shared" ref="I29:I34" si="1">IFERROR(VLOOKUP(A29,$A$8:$B$13,2,0),"")</f>
        <v>0.1</v>
      </c>
      <c r="J29" s="92">
        <f t="shared" ref="J29:J34" si="2">IFERROR(E29*(1-I29),"")</f>
        <v>22.5</v>
      </c>
      <c r="K29" s="92">
        <f t="shared" ref="K29:K34" si="3">IFERROR(H29*(1-I29),"")</f>
        <v>39.15</v>
      </c>
      <c r="L29" s="45">
        <v>21</v>
      </c>
      <c r="M29" s="45">
        <v>2</v>
      </c>
      <c r="N29" s="45">
        <v>8</v>
      </c>
      <c r="O29" s="61">
        <f t="shared" ref="O29:O34" si="4">M29*N29</f>
        <v>16</v>
      </c>
      <c r="P29" s="92">
        <f t="shared" ref="P29:P34" si="5">IFERROR(O29*H29,"")</f>
        <v>696</v>
      </c>
      <c r="Q29" s="92">
        <f t="shared" ref="Q29:Q34" si="6">IFERROR(O29*K29,"")</f>
        <v>626.4</v>
      </c>
    </row>
    <row r="30" spans="1:17">
      <c r="A30" s="45" t="s">
        <v>83</v>
      </c>
      <c r="B30" s="45">
        <v>1</v>
      </c>
      <c r="C30" s="45">
        <v>500</v>
      </c>
      <c r="D30" s="45" t="s">
        <v>67</v>
      </c>
      <c r="E30" s="95">
        <v>600</v>
      </c>
      <c r="F30" s="45">
        <v>2000</v>
      </c>
      <c r="G30" s="60">
        <v>1</v>
      </c>
      <c r="H30" s="92">
        <f t="shared" si="0"/>
        <v>2400</v>
      </c>
      <c r="I30" s="86">
        <f t="shared" si="1"/>
        <v>0.05</v>
      </c>
      <c r="J30" s="92">
        <f t="shared" si="2"/>
        <v>570</v>
      </c>
      <c r="K30" s="92">
        <f t="shared" si="3"/>
        <v>2280</v>
      </c>
      <c r="L30" s="45">
        <v>28</v>
      </c>
      <c r="M30" s="45">
        <v>1</v>
      </c>
      <c r="N30" s="45">
        <v>7</v>
      </c>
      <c r="O30" s="61">
        <f t="shared" si="4"/>
        <v>7</v>
      </c>
      <c r="P30" s="92">
        <f t="shared" si="5"/>
        <v>16800</v>
      </c>
      <c r="Q30" s="92">
        <f t="shared" si="6"/>
        <v>15960</v>
      </c>
    </row>
    <row r="31" spans="1:17">
      <c r="A31" s="45"/>
      <c r="B31" s="45"/>
      <c r="C31" s="45"/>
      <c r="D31" s="45"/>
      <c r="E31" s="95"/>
      <c r="F31" s="45"/>
      <c r="G31" s="60"/>
      <c r="H31" s="92" t="str">
        <f t="shared" si="0"/>
        <v/>
      </c>
      <c r="I31" s="86" t="str">
        <f t="shared" si="1"/>
        <v/>
      </c>
      <c r="J31" s="92" t="str">
        <f t="shared" si="2"/>
        <v/>
      </c>
      <c r="K31" s="92" t="str">
        <f t="shared" si="3"/>
        <v/>
      </c>
      <c r="L31" s="45"/>
      <c r="M31" s="45"/>
      <c r="N31" s="45"/>
      <c r="O31" s="61">
        <f t="shared" si="4"/>
        <v>0</v>
      </c>
      <c r="P31" s="92" t="str">
        <f t="shared" si="5"/>
        <v/>
      </c>
      <c r="Q31" s="92" t="str">
        <f t="shared" si="6"/>
        <v/>
      </c>
    </row>
    <row r="32" spans="1:17">
      <c r="A32" s="45"/>
      <c r="B32" s="45"/>
      <c r="C32" s="45"/>
      <c r="D32" s="45"/>
      <c r="E32" s="95"/>
      <c r="F32" s="45"/>
      <c r="G32" s="60"/>
      <c r="H32" s="92" t="str">
        <f t="shared" si="0"/>
        <v/>
      </c>
      <c r="I32" s="86" t="str">
        <f t="shared" si="1"/>
        <v/>
      </c>
      <c r="J32" s="92" t="str">
        <f t="shared" si="2"/>
        <v/>
      </c>
      <c r="K32" s="92" t="str">
        <f t="shared" si="3"/>
        <v/>
      </c>
      <c r="L32" s="45"/>
      <c r="M32" s="45"/>
      <c r="N32" s="45"/>
      <c r="O32" s="61">
        <f t="shared" si="4"/>
        <v>0</v>
      </c>
      <c r="P32" s="92" t="str">
        <f t="shared" si="5"/>
        <v/>
      </c>
      <c r="Q32" s="92" t="str">
        <f t="shared" si="6"/>
        <v/>
      </c>
    </row>
    <row r="33" spans="1:17">
      <c r="A33" s="45"/>
      <c r="B33" s="45"/>
      <c r="C33" s="45"/>
      <c r="D33" s="45"/>
      <c r="E33" s="95"/>
      <c r="F33" s="45"/>
      <c r="G33" s="60"/>
      <c r="H33" s="92" t="str">
        <f t="shared" si="0"/>
        <v/>
      </c>
      <c r="I33" s="86" t="str">
        <f t="shared" si="1"/>
        <v/>
      </c>
      <c r="J33" s="92" t="str">
        <f t="shared" si="2"/>
        <v/>
      </c>
      <c r="K33" s="92" t="str">
        <f t="shared" si="3"/>
        <v/>
      </c>
      <c r="L33" s="45"/>
      <c r="M33" s="45"/>
      <c r="N33" s="45"/>
      <c r="O33" s="61">
        <f t="shared" si="4"/>
        <v>0</v>
      </c>
      <c r="P33" s="92" t="str">
        <f t="shared" si="5"/>
        <v/>
      </c>
      <c r="Q33" s="92" t="str">
        <f t="shared" si="6"/>
        <v/>
      </c>
    </row>
    <row r="34" spans="1:17">
      <c r="A34" s="45"/>
      <c r="B34" s="45"/>
      <c r="C34" s="45"/>
      <c r="D34" s="45"/>
      <c r="E34" s="95"/>
      <c r="F34" s="45"/>
      <c r="G34" s="60"/>
      <c r="H34" s="92" t="str">
        <f t="shared" si="0"/>
        <v/>
      </c>
      <c r="I34" s="86" t="str">
        <f t="shared" si="1"/>
        <v/>
      </c>
      <c r="J34" s="92" t="str">
        <f t="shared" si="2"/>
        <v/>
      </c>
      <c r="K34" s="92" t="str">
        <f t="shared" si="3"/>
        <v/>
      </c>
      <c r="L34" s="45"/>
      <c r="M34" s="45"/>
      <c r="N34" s="45"/>
      <c r="O34" s="61">
        <f t="shared" si="4"/>
        <v>0</v>
      </c>
      <c r="P34" s="92" t="str">
        <f t="shared" si="5"/>
        <v/>
      </c>
      <c r="Q34" s="92" t="str">
        <f t="shared" si="6"/>
        <v/>
      </c>
    </row>
    <row r="35" spans="1:17">
      <c r="A35" s="57" t="s">
        <v>68</v>
      </c>
      <c r="B35" s="49"/>
      <c r="C35" s="49"/>
      <c r="D35" s="49"/>
      <c r="E35" s="49"/>
      <c r="F35" s="49"/>
      <c r="G35" s="49"/>
      <c r="H35" s="49"/>
      <c r="I35" s="49"/>
      <c r="J35" s="49"/>
      <c r="K35" s="49"/>
      <c r="L35" s="49"/>
      <c r="M35" s="49"/>
      <c r="N35" s="49"/>
      <c r="O35" s="49"/>
      <c r="P35" s="91">
        <f>SUM(P28:P34)</f>
        <v>36696</v>
      </c>
      <c r="Q35" s="96"/>
    </row>
    <row r="36" spans="1:17">
      <c r="A36" s="58" t="s">
        <v>69</v>
      </c>
      <c r="B36" s="59"/>
      <c r="C36" s="59"/>
      <c r="D36" s="59"/>
      <c r="E36" s="59"/>
      <c r="F36" s="59"/>
      <c r="G36" s="59"/>
      <c r="H36" s="59"/>
      <c r="I36" s="59"/>
      <c r="J36" s="59"/>
      <c r="K36" s="59"/>
      <c r="L36" s="59"/>
      <c r="M36" s="59"/>
      <c r="N36" s="59"/>
      <c r="O36" s="59"/>
      <c r="P36" s="97"/>
      <c r="Q36" s="91">
        <f>SUM(Q28:Q34)</f>
        <v>34826.400000000001</v>
      </c>
    </row>
    <row r="37" spans="1:17">
      <c r="C37" s="1"/>
      <c r="D37" s="1"/>
    </row>
    <row r="38" spans="1:17" ht="190.5" customHeight="1">
      <c r="A38" s="17" t="s">
        <v>70</v>
      </c>
      <c r="B38" s="17" t="s">
        <v>47</v>
      </c>
      <c r="C38" s="108" t="s">
        <v>96</v>
      </c>
      <c r="D38" s="109"/>
      <c r="E38" s="17" t="s">
        <v>49</v>
      </c>
      <c r="F38" s="60">
        <v>0.45</v>
      </c>
      <c r="G38" s="1"/>
    </row>
    <row r="39" spans="1:17">
      <c r="A39" s="2"/>
      <c r="B39" s="2"/>
      <c r="C39" s="1"/>
      <c r="D39" s="1"/>
      <c r="E39" s="2"/>
      <c r="F39" s="56"/>
      <c r="G39" s="1"/>
    </row>
    <row r="40" spans="1:17">
      <c r="A40" s="17" t="s">
        <v>50</v>
      </c>
      <c r="B40" s="17" t="s">
        <v>51</v>
      </c>
      <c r="C40" s="17" t="s">
        <v>52</v>
      </c>
      <c r="D40" s="17" t="s">
        <v>53</v>
      </c>
      <c r="E40" s="17" t="s">
        <v>54</v>
      </c>
      <c r="F40" s="17" t="s">
        <v>55</v>
      </c>
      <c r="G40" s="17" t="s">
        <v>56</v>
      </c>
      <c r="H40" s="17" t="s">
        <v>57</v>
      </c>
      <c r="I40" s="17" t="s">
        <v>58</v>
      </c>
      <c r="J40" s="17" t="s">
        <v>59</v>
      </c>
      <c r="K40" s="17" t="s">
        <v>60</v>
      </c>
      <c r="L40" s="17" t="s">
        <v>61</v>
      </c>
      <c r="M40" s="17" t="s">
        <v>62</v>
      </c>
      <c r="N40" s="17" t="s">
        <v>63</v>
      </c>
      <c r="O40" s="17" t="s">
        <v>64</v>
      </c>
      <c r="P40" s="17" t="s">
        <v>65</v>
      </c>
      <c r="Q40" s="17" t="s">
        <v>66</v>
      </c>
    </row>
    <row r="41" spans="1:17">
      <c r="A41" s="45" t="s">
        <v>83</v>
      </c>
      <c r="B41" s="45">
        <v>1</v>
      </c>
      <c r="C41" s="45">
        <v>500</v>
      </c>
      <c r="D41" s="45" t="s">
        <v>67</v>
      </c>
      <c r="E41" s="95">
        <v>600</v>
      </c>
      <c r="F41" s="45">
        <v>1000</v>
      </c>
      <c r="G41" s="60">
        <v>1</v>
      </c>
      <c r="H41" s="92">
        <f>IFERROR((E41/B41)*((F41*G41)/C41),"")</f>
        <v>1200</v>
      </c>
      <c r="I41" s="86">
        <f>IFERROR(VLOOKUP(A41,$A$8:$B$13,2,0),"")</f>
        <v>0.05</v>
      </c>
      <c r="J41" s="92">
        <f>IFERROR(E41*(1-I41),"")</f>
        <v>570</v>
      </c>
      <c r="K41" s="92">
        <f>IFERROR(H41*(1-I41),"")</f>
        <v>1140</v>
      </c>
      <c r="L41" s="45">
        <v>21</v>
      </c>
      <c r="M41" s="45">
        <v>1</v>
      </c>
      <c r="N41" s="45">
        <v>8</v>
      </c>
      <c r="O41" s="61">
        <f>M41*N41</f>
        <v>8</v>
      </c>
      <c r="P41" s="92">
        <f>IFERROR(O41*H41,"")</f>
        <v>9600</v>
      </c>
      <c r="Q41" s="92">
        <f>IFERROR(O41*K41,"")</f>
        <v>9120</v>
      </c>
    </row>
    <row r="42" spans="1:17">
      <c r="A42" s="45" t="s">
        <v>84</v>
      </c>
      <c r="B42" s="45">
        <v>1</v>
      </c>
      <c r="C42" s="45">
        <v>1000</v>
      </c>
      <c r="D42" s="45" t="s">
        <v>67</v>
      </c>
      <c r="E42" s="95">
        <v>25</v>
      </c>
      <c r="F42" s="45">
        <v>1740</v>
      </c>
      <c r="G42" s="60">
        <v>1</v>
      </c>
      <c r="H42" s="92">
        <f t="shared" ref="H42:H47" si="7">IFERROR((E42/B42)*((F42*G42)/C42),"")</f>
        <v>43.5</v>
      </c>
      <c r="I42" s="86">
        <f t="shared" ref="I42:I47" si="8">IFERROR(VLOOKUP(A42,$A$8:$B$13,2,0),"")</f>
        <v>0.1</v>
      </c>
      <c r="J42" s="92">
        <f t="shared" ref="J42:J47" si="9">IFERROR(E42*(1-I42),"")</f>
        <v>22.5</v>
      </c>
      <c r="K42" s="92">
        <f t="shared" ref="K42:K47" si="10">IFERROR(H42*(1-I42),"")</f>
        <v>39.15</v>
      </c>
      <c r="L42" s="45">
        <v>21</v>
      </c>
      <c r="M42" s="45">
        <v>2</v>
      </c>
      <c r="N42" s="45">
        <v>8</v>
      </c>
      <c r="O42" s="61">
        <f t="shared" ref="O42:O47" si="11">M42*N42</f>
        <v>16</v>
      </c>
      <c r="P42" s="92">
        <f t="shared" ref="P42:P47" si="12">IFERROR(O42*H42,"")</f>
        <v>696</v>
      </c>
      <c r="Q42" s="92">
        <f t="shared" ref="Q42:Q47" si="13">IFERROR(O42*K42,"")</f>
        <v>626.4</v>
      </c>
    </row>
    <row r="43" spans="1:17">
      <c r="A43" s="45" t="s">
        <v>83</v>
      </c>
      <c r="B43" s="45">
        <v>1</v>
      </c>
      <c r="C43" s="45">
        <v>500</v>
      </c>
      <c r="D43" s="45" t="s">
        <v>67</v>
      </c>
      <c r="E43" s="95">
        <v>600</v>
      </c>
      <c r="F43" s="45">
        <v>1000</v>
      </c>
      <c r="G43" s="60">
        <v>1</v>
      </c>
      <c r="H43" s="92">
        <f t="shared" si="7"/>
        <v>1200</v>
      </c>
      <c r="I43" s="86">
        <f t="shared" si="8"/>
        <v>0.05</v>
      </c>
      <c r="J43" s="92">
        <f t="shared" si="9"/>
        <v>570</v>
      </c>
      <c r="K43" s="92">
        <f t="shared" si="10"/>
        <v>1140</v>
      </c>
      <c r="L43" s="45">
        <v>28</v>
      </c>
      <c r="M43" s="45">
        <v>1</v>
      </c>
      <c r="N43" s="45">
        <v>7</v>
      </c>
      <c r="O43" s="61">
        <f t="shared" si="11"/>
        <v>7</v>
      </c>
      <c r="P43" s="92">
        <f t="shared" si="12"/>
        <v>8400</v>
      </c>
      <c r="Q43" s="92">
        <f t="shared" si="13"/>
        <v>7980</v>
      </c>
    </row>
    <row r="44" spans="1:17">
      <c r="A44" s="45"/>
      <c r="B44" s="45"/>
      <c r="C44" s="45"/>
      <c r="D44" s="45"/>
      <c r="E44" s="95"/>
      <c r="F44" s="45"/>
      <c r="G44" s="60"/>
      <c r="H44" s="92" t="str">
        <f t="shared" si="7"/>
        <v/>
      </c>
      <c r="I44" s="86" t="str">
        <f t="shared" si="8"/>
        <v/>
      </c>
      <c r="J44" s="92" t="str">
        <f t="shared" si="9"/>
        <v/>
      </c>
      <c r="K44" s="92" t="str">
        <f t="shared" si="10"/>
        <v/>
      </c>
      <c r="L44" s="45"/>
      <c r="M44" s="45"/>
      <c r="N44" s="45"/>
      <c r="O44" s="61">
        <f t="shared" si="11"/>
        <v>0</v>
      </c>
      <c r="P44" s="92" t="str">
        <f t="shared" si="12"/>
        <v/>
      </c>
      <c r="Q44" s="92" t="str">
        <f t="shared" si="13"/>
        <v/>
      </c>
    </row>
    <row r="45" spans="1:17">
      <c r="A45" s="45"/>
      <c r="B45" s="45"/>
      <c r="C45" s="45"/>
      <c r="D45" s="45"/>
      <c r="E45" s="95"/>
      <c r="F45" s="45"/>
      <c r="G45" s="60"/>
      <c r="H45" s="92" t="str">
        <f t="shared" si="7"/>
        <v/>
      </c>
      <c r="I45" s="86" t="str">
        <f t="shared" si="8"/>
        <v/>
      </c>
      <c r="J45" s="92" t="str">
        <f t="shared" si="9"/>
        <v/>
      </c>
      <c r="K45" s="92" t="str">
        <f t="shared" si="10"/>
        <v/>
      </c>
      <c r="L45" s="45"/>
      <c r="M45" s="45"/>
      <c r="N45" s="45"/>
      <c r="O45" s="61">
        <f t="shared" si="11"/>
        <v>0</v>
      </c>
      <c r="P45" s="92" t="str">
        <f t="shared" si="12"/>
        <v/>
      </c>
      <c r="Q45" s="92" t="str">
        <f t="shared" si="13"/>
        <v/>
      </c>
    </row>
    <row r="46" spans="1:17">
      <c r="A46" s="45"/>
      <c r="B46" s="45"/>
      <c r="C46" s="45"/>
      <c r="D46" s="45"/>
      <c r="E46" s="95"/>
      <c r="F46" s="45"/>
      <c r="G46" s="60"/>
      <c r="H46" s="92" t="str">
        <f t="shared" si="7"/>
        <v/>
      </c>
      <c r="I46" s="86" t="str">
        <f t="shared" si="8"/>
        <v/>
      </c>
      <c r="J46" s="92" t="str">
        <f t="shared" si="9"/>
        <v/>
      </c>
      <c r="K46" s="92" t="str">
        <f t="shared" si="10"/>
        <v/>
      </c>
      <c r="L46" s="45"/>
      <c r="M46" s="45"/>
      <c r="N46" s="45"/>
      <c r="O46" s="61">
        <f t="shared" si="11"/>
        <v>0</v>
      </c>
      <c r="P46" s="92" t="str">
        <f t="shared" si="12"/>
        <v/>
      </c>
      <c r="Q46" s="92" t="str">
        <f t="shared" si="13"/>
        <v/>
      </c>
    </row>
    <row r="47" spans="1:17">
      <c r="A47" s="45"/>
      <c r="B47" s="45"/>
      <c r="C47" s="45"/>
      <c r="D47" s="45"/>
      <c r="E47" s="95"/>
      <c r="F47" s="45"/>
      <c r="G47" s="60"/>
      <c r="H47" s="92" t="str">
        <f t="shared" si="7"/>
        <v/>
      </c>
      <c r="I47" s="86" t="str">
        <f t="shared" si="8"/>
        <v/>
      </c>
      <c r="J47" s="92" t="str">
        <f t="shared" si="9"/>
        <v/>
      </c>
      <c r="K47" s="92" t="str">
        <f t="shared" si="10"/>
        <v/>
      </c>
      <c r="L47" s="45"/>
      <c r="M47" s="45"/>
      <c r="N47" s="45"/>
      <c r="O47" s="61">
        <f t="shared" si="11"/>
        <v>0</v>
      </c>
      <c r="P47" s="92" t="str">
        <f t="shared" si="12"/>
        <v/>
      </c>
      <c r="Q47" s="92" t="str">
        <f t="shared" si="13"/>
        <v/>
      </c>
    </row>
    <row r="48" spans="1:17">
      <c r="A48" s="57" t="s">
        <v>68</v>
      </c>
      <c r="B48" s="49"/>
      <c r="C48" s="49"/>
      <c r="D48" s="49"/>
      <c r="E48" s="49"/>
      <c r="F48" s="49"/>
      <c r="G48" s="49"/>
      <c r="H48" s="49"/>
      <c r="I48" s="49"/>
      <c r="J48" s="49"/>
      <c r="K48" s="49"/>
      <c r="L48" s="49"/>
      <c r="M48" s="49"/>
      <c r="N48" s="49"/>
      <c r="O48" s="49"/>
      <c r="P48" s="91">
        <f>SUM(P41:P47)</f>
        <v>18696</v>
      </c>
      <c r="Q48" s="96"/>
    </row>
    <row r="49" spans="1:17">
      <c r="A49" s="58" t="s">
        <v>69</v>
      </c>
      <c r="B49" s="59"/>
      <c r="C49" s="59"/>
      <c r="D49" s="59"/>
      <c r="E49" s="59"/>
      <c r="F49" s="59"/>
      <c r="G49" s="59"/>
      <c r="H49" s="59"/>
      <c r="I49" s="59"/>
      <c r="J49" s="59"/>
      <c r="K49" s="59"/>
      <c r="L49" s="59"/>
      <c r="M49" s="59"/>
      <c r="N49" s="59"/>
      <c r="O49" s="59"/>
      <c r="P49" s="97"/>
      <c r="Q49" s="91">
        <f>SUM(Q41:Q47)</f>
        <v>17726.400000000001</v>
      </c>
    </row>
    <row r="50" spans="1:17">
      <c r="C50" s="1"/>
      <c r="D50" s="1"/>
    </row>
    <row r="51" spans="1:17">
      <c r="A51" s="17" t="s">
        <v>73</v>
      </c>
      <c r="B51" s="17" t="s">
        <v>47</v>
      </c>
      <c r="C51" s="100" t="s">
        <v>41</v>
      </c>
      <c r="D51" s="101"/>
      <c r="E51" s="17" t="s">
        <v>49</v>
      </c>
      <c r="F51" s="60">
        <v>0</v>
      </c>
      <c r="G51" s="1"/>
    </row>
    <row r="52" spans="1:17">
      <c r="A52" s="2"/>
      <c r="B52" s="2"/>
      <c r="C52" s="1"/>
      <c r="D52" s="1"/>
      <c r="E52" s="2"/>
      <c r="F52" s="56"/>
      <c r="G52" s="1"/>
    </row>
    <row r="53" spans="1:17">
      <c r="A53" s="17" t="s">
        <v>50</v>
      </c>
      <c r="B53" s="17" t="s">
        <v>51</v>
      </c>
      <c r="C53" s="17" t="s">
        <v>52</v>
      </c>
      <c r="D53" s="17" t="s">
        <v>53</v>
      </c>
      <c r="E53" s="17" t="s">
        <v>54</v>
      </c>
      <c r="F53" s="17" t="s">
        <v>55</v>
      </c>
      <c r="G53" s="17" t="s">
        <v>56</v>
      </c>
      <c r="H53" s="17" t="s">
        <v>57</v>
      </c>
      <c r="I53" s="17" t="s">
        <v>58</v>
      </c>
      <c r="J53" s="17" t="s">
        <v>59</v>
      </c>
      <c r="K53" s="17" t="s">
        <v>60</v>
      </c>
      <c r="L53" s="17" t="s">
        <v>61</v>
      </c>
      <c r="M53" s="17" t="s">
        <v>62</v>
      </c>
      <c r="N53" s="17" t="s">
        <v>63</v>
      </c>
      <c r="O53" s="17" t="s">
        <v>64</v>
      </c>
      <c r="P53" s="17" t="s">
        <v>65</v>
      </c>
      <c r="Q53" s="17" t="s">
        <v>66</v>
      </c>
    </row>
    <row r="54" spans="1:17">
      <c r="A54" s="45"/>
      <c r="B54" s="45"/>
      <c r="C54" s="45"/>
      <c r="D54" s="45"/>
      <c r="E54" s="95"/>
      <c r="F54" s="45"/>
      <c r="G54" s="60"/>
      <c r="H54" s="92" t="str">
        <f>IFERROR((E54/B54)*((F54*G54)/C54),"")</f>
        <v/>
      </c>
      <c r="I54" s="86" t="str">
        <f>IFERROR(VLOOKUP(A54,$A$8:$B$13,2,0),"")</f>
        <v/>
      </c>
      <c r="J54" s="92" t="str">
        <f>IFERROR(E54*(1-I54),"")</f>
        <v/>
      </c>
      <c r="K54" s="92" t="str">
        <f>IFERROR(H54*(1-I54),"")</f>
        <v/>
      </c>
      <c r="L54" s="45"/>
      <c r="M54" s="45"/>
      <c r="N54" s="45"/>
      <c r="O54" s="61">
        <f>M54*N54</f>
        <v>0</v>
      </c>
      <c r="P54" s="92" t="str">
        <f>IFERROR(O54*H54,"")</f>
        <v/>
      </c>
      <c r="Q54" s="92" t="str">
        <f>IFERROR(O54*K54,"")</f>
        <v/>
      </c>
    </row>
    <row r="55" spans="1:17">
      <c r="A55" s="45"/>
      <c r="B55" s="45"/>
      <c r="C55" s="45"/>
      <c r="D55" s="45"/>
      <c r="E55" s="95"/>
      <c r="F55" s="45"/>
      <c r="G55" s="60"/>
      <c r="H55" s="92" t="str">
        <f t="shared" ref="H55:H60" si="14">IFERROR((E55/B55)*((F55*G55)/C55),"")</f>
        <v/>
      </c>
      <c r="I55" s="86" t="str">
        <f t="shared" ref="I55:I60" si="15">IFERROR(VLOOKUP(A55,$A$8:$B$13,2,0),"")</f>
        <v/>
      </c>
      <c r="J55" s="92" t="str">
        <f t="shared" ref="J55:J60" si="16">IFERROR(E55*(1-I55),"")</f>
        <v/>
      </c>
      <c r="K55" s="92" t="str">
        <f t="shared" ref="K55:K60" si="17">IFERROR(H55*(1-I55),"")</f>
        <v/>
      </c>
      <c r="L55" s="45"/>
      <c r="M55" s="45"/>
      <c r="N55" s="45"/>
      <c r="O55" s="61">
        <f t="shared" ref="O55:O60" si="18">M55*N55</f>
        <v>0</v>
      </c>
      <c r="P55" s="92" t="str">
        <f t="shared" ref="P55:P60" si="19">IFERROR(O55*H55,"")</f>
        <v/>
      </c>
      <c r="Q55" s="92" t="str">
        <f t="shared" ref="Q55:Q60" si="20">IFERROR(O55*K55,"")</f>
        <v/>
      </c>
    </row>
    <row r="56" spans="1:17">
      <c r="A56" s="45"/>
      <c r="B56" s="45"/>
      <c r="C56" s="45"/>
      <c r="D56" s="45"/>
      <c r="E56" s="95"/>
      <c r="F56" s="45"/>
      <c r="G56" s="60"/>
      <c r="H56" s="92" t="str">
        <f t="shared" si="14"/>
        <v/>
      </c>
      <c r="I56" s="86" t="str">
        <f t="shared" si="15"/>
        <v/>
      </c>
      <c r="J56" s="92" t="str">
        <f t="shared" si="16"/>
        <v/>
      </c>
      <c r="K56" s="92" t="str">
        <f t="shared" si="17"/>
        <v/>
      </c>
      <c r="L56" s="45"/>
      <c r="M56" s="45"/>
      <c r="N56" s="45"/>
      <c r="O56" s="61">
        <f t="shared" si="18"/>
        <v>0</v>
      </c>
      <c r="P56" s="92" t="str">
        <f t="shared" si="19"/>
        <v/>
      </c>
      <c r="Q56" s="92" t="str">
        <f t="shared" si="20"/>
        <v/>
      </c>
    </row>
    <row r="57" spans="1:17">
      <c r="A57" s="45"/>
      <c r="B57" s="45"/>
      <c r="C57" s="45"/>
      <c r="D57" s="45"/>
      <c r="E57" s="95"/>
      <c r="F57" s="45"/>
      <c r="G57" s="60"/>
      <c r="H57" s="92" t="str">
        <f t="shared" si="14"/>
        <v/>
      </c>
      <c r="I57" s="86" t="str">
        <f t="shared" si="15"/>
        <v/>
      </c>
      <c r="J57" s="92" t="str">
        <f t="shared" si="16"/>
        <v/>
      </c>
      <c r="K57" s="92" t="str">
        <f t="shared" si="17"/>
        <v/>
      </c>
      <c r="L57" s="45"/>
      <c r="M57" s="45"/>
      <c r="N57" s="45"/>
      <c r="O57" s="61">
        <f t="shared" si="18"/>
        <v>0</v>
      </c>
      <c r="P57" s="92" t="str">
        <f t="shared" si="19"/>
        <v/>
      </c>
      <c r="Q57" s="92" t="str">
        <f t="shared" si="20"/>
        <v/>
      </c>
    </row>
    <row r="58" spans="1:17">
      <c r="A58" s="45"/>
      <c r="B58" s="45"/>
      <c r="C58" s="45"/>
      <c r="D58" s="45"/>
      <c r="E58" s="95"/>
      <c r="F58" s="45"/>
      <c r="G58" s="60"/>
      <c r="H58" s="92" t="str">
        <f t="shared" si="14"/>
        <v/>
      </c>
      <c r="I58" s="86" t="str">
        <f t="shared" si="15"/>
        <v/>
      </c>
      <c r="J58" s="92" t="str">
        <f t="shared" si="16"/>
        <v/>
      </c>
      <c r="K58" s="92" t="str">
        <f t="shared" si="17"/>
        <v/>
      </c>
      <c r="L58" s="45"/>
      <c r="M58" s="45"/>
      <c r="N58" s="45"/>
      <c r="O58" s="61">
        <f t="shared" si="18"/>
        <v>0</v>
      </c>
      <c r="P58" s="92" t="str">
        <f t="shared" si="19"/>
        <v/>
      </c>
      <c r="Q58" s="92" t="str">
        <f t="shared" si="20"/>
        <v/>
      </c>
    </row>
    <row r="59" spans="1:17">
      <c r="A59" s="45"/>
      <c r="B59" s="45"/>
      <c r="C59" s="45"/>
      <c r="D59" s="45"/>
      <c r="E59" s="95"/>
      <c r="F59" s="45"/>
      <c r="G59" s="60"/>
      <c r="H59" s="92" t="str">
        <f t="shared" si="14"/>
        <v/>
      </c>
      <c r="I59" s="86" t="str">
        <f t="shared" si="15"/>
        <v/>
      </c>
      <c r="J59" s="92" t="str">
        <f t="shared" si="16"/>
        <v/>
      </c>
      <c r="K59" s="92" t="str">
        <f t="shared" si="17"/>
        <v/>
      </c>
      <c r="L59" s="45"/>
      <c r="M59" s="45"/>
      <c r="N59" s="45"/>
      <c r="O59" s="61">
        <f t="shared" si="18"/>
        <v>0</v>
      </c>
      <c r="P59" s="92" t="str">
        <f t="shared" si="19"/>
        <v/>
      </c>
      <c r="Q59" s="92" t="str">
        <f t="shared" si="20"/>
        <v/>
      </c>
    </row>
    <row r="60" spans="1:17">
      <c r="A60" s="45"/>
      <c r="B60" s="45"/>
      <c r="C60" s="45"/>
      <c r="D60" s="45"/>
      <c r="E60" s="95"/>
      <c r="F60" s="45"/>
      <c r="G60" s="60"/>
      <c r="H60" s="92" t="str">
        <f t="shared" si="14"/>
        <v/>
      </c>
      <c r="I60" s="86" t="str">
        <f t="shared" si="15"/>
        <v/>
      </c>
      <c r="J60" s="92" t="str">
        <f t="shared" si="16"/>
        <v/>
      </c>
      <c r="K60" s="92" t="str">
        <f t="shared" si="17"/>
        <v/>
      </c>
      <c r="L60" s="45"/>
      <c r="M60" s="45"/>
      <c r="N60" s="45"/>
      <c r="O60" s="61">
        <f t="shared" si="18"/>
        <v>0</v>
      </c>
      <c r="P60" s="92" t="str">
        <f t="shared" si="19"/>
        <v/>
      </c>
      <c r="Q60" s="92" t="str">
        <f t="shared" si="20"/>
        <v/>
      </c>
    </row>
    <row r="61" spans="1:17">
      <c r="A61" s="57" t="s">
        <v>68</v>
      </c>
      <c r="B61" s="49"/>
      <c r="C61" s="49"/>
      <c r="D61" s="49"/>
      <c r="E61" s="49"/>
      <c r="F61" s="49"/>
      <c r="G61" s="49"/>
      <c r="H61" s="49"/>
      <c r="I61" s="49"/>
      <c r="J61" s="49"/>
      <c r="K61" s="49"/>
      <c r="L61" s="49"/>
      <c r="M61" s="49"/>
      <c r="N61" s="49"/>
      <c r="O61" s="49"/>
      <c r="P61" s="91">
        <f>SUM(P54:P60)</f>
        <v>0</v>
      </c>
      <c r="Q61" s="96"/>
    </row>
    <row r="62" spans="1:17">
      <c r="A62" s="58" t="s">
        <v>69</v>
      </c>
      <c r="B62" s="59"/>
      <c r="C62" s="59"/>
      <c r="D62" s="59"/>
      <c r="E62" s="59"/>
      <c r="F62" s="59"/>
      <c r="G62" s="59"/>
      <c r="H62" s="59"/>
      <c r="I62" s="59"/>
      <c r="J62" s="59"/>
      <c r="K62" s="59"/>
      <c r="L62" s="59"/>
      <c r="M62" s="59"/>
      <c r="N62" s="59"/>
      <c r="O62" s="59"/>
      <c r="P62" s="97"/>
      <c r="Q62" s="91">
        <f>SUM(Q54:Q60)</f>
        <v>0</v>
      </c>
    </row>
    <row r="64" spans="1:17">
      <c r="A64" s="13" t="s">
        <v>97</v>
      </c>
    </row>
    <row r="65" spans="1:17">
      <c r="A65" s="57" t="s">
        <v>98</v>
      </c>
      <c r="B65" s="49"/>
      <c r="C65" s="49"/>
      <c r="D65" s="49"/>
      <c r="E65" s="49"/>
      <c r="F65" s="49"/>
      <c r="G65" s="49"/>
      <c r="H65" s="49"/>
      <c r="I65" s="49"/>
      <c r="J65" s="49"/>
      <c r="K65" s="49"/>
      <c r="L65" s="49"/>
      <c r="M65" s="49"/>
      <c r="N65" s="49"/>
      <c r="O65" s="49"/>
      <c r="P65" s="91">
        <f>P35*F25+P48*F38+P61*F51</f>
        <v>28596.000000000004</v>
      </c>
      <c r="Q65" s="93"/>
    </row>
    <row r="66" spans="1:17">
      <c r="A66" s="58" t="s">
        <v>99</v>
      </c>
      <c r="B66" s="59"/>
      <c r="C66" s="59"/>
      <c r="D66" s="59"/>
      <c r="E66" s="59"/>
      <c r="F66" s="59"/>
      <c r="G66" s="59"/>
      <c r="H66" s="59"/>
      <c r="I66" s="59"/>
      <c r="J66" s="59"/>
      <c r="K66" s="59"/>
      <c r="L66" s="59"/>
      <c r="M66" s="59"/>
      <c r="N66" s="59"/>
      <c r="O66" s="59"/>
      <c r="P66" s="94"/>
      <c r="Q66" s="91">
        <f>Q36*F25+Q49*F38+Q62*F51</f>
        <v>27131.400000000005</v>
      </c>
    </row>
    <row r="68" spans="1:17" s="9" customFormat="1"/>
    <row r="70" spans="1:17">
      <c r="A70" s="13" t="s">
        <v>100</v>
      </c>
      <c r="C70" s="1"/>
      <c r="D70" s="1"/>
      <c r="E70" s="2"/>
    </row>
    <row r="71" spans="1:17">
      <c r="A71" s="17" t="s">
        <v>91</v>
      </c>
      <c r="B71" s="104" t="s">
        <v>101</v>
      </c>
      <c r="C71" s="105"/>
      <c r="D71" s="105"/>
      <c r="E71" s="106"/>
      <c r="H71" s="65"/>
    </row>
    <row r="72" spans="1:17">
      <c r="A72" s="2"/>
      <c r="B72" s="51"/>
      <c r="C72" s="1"/>
      <c r="D72" s="1"/>
      <c r="E72" s="2"/>
      <c r="H72" s="65"/>
    </row>
    <row r="73" spans="1:17">
      <c r="A73" s="17" t="s">
        <v>93</v>
      </c>
      <c r="B73" s="60">
        <v>0.45</v>
      </c>
      <c r="C73" s="1"/>
      <c r="D73" s="1"/>
      <c r="E73" s="2"/>
      <c r="H73" s="65"/>
    </row>
    <row r="74" spans="1:17">
      <c r="B74" s="19"/>
    </row>
    <row r="75" spans="1:17">
      <c r="A75" s="17" t="s">
        <v>38</v>
      </c>
      <c r="B75" s="104" t="s">
        <v>101</v>
      </c>
      <c r="C75" s="105"/>
      <c r="D75" s="105"/>
      <c r="E75" s="106"/>
    </row>
    <row r="76" spans="1:17">
      <c r="B76" s="51"/>
    </row>
    <row r="77" spans="1:17">
      <c r="A77" s="17" t="s">
        <v>46</v>
      </c>
      <c r="B77" s="17" t="s">
        <v>47</v>
      </c>
      <c r="C77" s="100" t="s">
        <v>102</v>
      </c>
      <c r="D77" s="101"/>
      <c r="E77" s="17" t="s">
        <v>49</v>
      </c>
      <c r="F77" s="60">
        <v>1</v>
      </c>
      <c r="G77" s="1"/>
    </row>
    <row r="78" spans="1:17">
      <c r="A78" s="2"/>
      <c r="B78" s="2"/>
      <c r="E78" s="2"/>
      <c r="F78" s="66"/>
      <c r="G78" s="1"/>
    </row>
    <row r="79" spans="1:17">
      <c r="A79" s="17" t="s">
        <v>50</v>
      </c>
      <c r="B79" s="17" t="s">
        <v>51</v>
      </c>
      <c r="C79" s="17" t="s">
        <v>52</v>
      </c>
      <c r="D79" s="17" t="s">
        <v>53</v>
      </c>
      <c r="E79" s="17" t="s">
        <v>54</v>
      </c>
      <c r="F79" s="17" t="s">
        <v>55</v>
      </c>
      <c r="G79" s="17" t="s">
        <v>56</v>
      </c>
      <c r="H79" s="17" t="s">
        <v>57</v>
      </c>
      <c r="I79" s="17" t="s">
        <v>58</v>
      </c>
      <c r="J79" s="17" t="s">
        <v>59</v>
      </c>
      <c r="K79" s="17" t="s">
        <v>60</v>
      </c>
      <c r="L79" s="17" t="s">
        <v>61</v>
      </c>
      <c r="M79" s="17" t="s">
        <v>62</v>
      </c>
      <c r="N79" s="17" t="s">
        <v>63</v>
      </c>
      <c r="O79" s="17" t="s">
        <v>64</v>
      </c>
      <c r="P79" s="17" t="s">
        <v>65</v>
      </c>
      <c r="Q79" s="17" t="s">
        <v>66</v>
      </c>
    </row>
    <row r="80" spans="1:17">
      <c r="A80" s="45" t="s">
        <v>85</v>
      </c>
      <c r="B80" s="45">
        <v>1</v>
      </c>
      <c r="C80" s="45">
        <v>1</v>
      </c>
      <c r="D80" s="45" t="s">
        <v>103</v>
      </c>
      <c r="E80" s="95">
        <v>100000</v>
      </c>
      <c r="F80" s="45">
        <v>1</v>
      </c>
      <c r="G80" s="60">
        <v>1</v>
      </c>
      <c r="H80" s="92">
        <f>IFERROR((E80/B80)*((F80*G80)/C80),"")</f>
        <v>100000</v>
      </c>
      <c r="I80" s="86">
        <f>IFERROR(VLOOKUP(A80,$A$8:$B$13,2,0),"")</f>
        <v>0.15</v>
      </c>
      <c r="J80" s="92">
        <f>IFERROR(E80*(1-I80),"")</f>
        <v>85000</v>
      </c>
      <c r="K80" s="92">
        <f>IFERROR(H80*(1-I80),"")</f>
        <v>85000</v>
      </c>
      <c r="L80" s="45">
        <v>1</v>
      </c>
      <c r="M80" s="45">
        <v>1</v>
      </c>
      <c r="N80" s="45">
        <v>1</v>
      </c>
      <c r="O80" s="61">
        <f>M80*N80</f>
        <v>1</v>
      </c>
      <c r="P80" s="92">
        <f>IFERROR(O80*H80,"")</f>
        <v>100000</v>
      </c>
      <c r="Q80" s="92">
        <f>IFERROR(O80*K80,"")</f>
        <v>85000</v>
      </c>
    </row>
    <row r="81" spans="1:17">
      <c r="A81" s="45"/>
      <c r="B81" s="45"/>
      <c r="C81" s="45"/>
      <c r="D81" s="45"/>
      <c r="E81" s="95"/>
      <c r="F81" s="45"/>
      <c r="G81" s="60"/>
      <c r="H81" s="92" t="str">
        <f t="shared" ref="H81:H86" si="21">IFERROR((E81/B81)*((F81*G81)/C81),"")</f>
        <v/>
      </c>
      <c r="I81" s="86" t="str">
        <f t="shared" ref="I81:I86" si="22">IFERROR(VLOOKUP(A81,$A$8:$B$13,2,0),"")</f>
        <v/>
      </c>
      <c r="J81" s="92" t="str">
        <f t="shared" ref="J81:J86" si="23">IFERROR(E81*(1-I81),"")</f>
        <v/>
      </c>
      <c r="K81" s="92" t="str">
        <f t="shared" ref="K81:K86" si="24">IFERROR(H81*(1-I81),"")</f>
        <v/>
      </c>
      <c r="L81" s="45"/>
      <c r="M81" s="45"/>
      <c r="N81" s="45"/>
      <c r="O81" s="61">
        <f t="shared" ref="O81:O86" si="25">M81*N81</f>
        <v>0</v>
      </c>
      <c r="P81" s="92" t="str">
        <f t="shared" ref="P81:P86" si="26">IFERROR(O81*H81,"")</f>
        <v/>
      </c>
      <c r="Q81" s="92" t="str">
        <f t="shared" ref="Q81:Q86" si="27">IFERROR(O81*K81,"")</f>
        <v/>
      </c>
    </row>
    <row r="82" spans="1:17">
      <c r="A82" s="45"/>
      <c r="B82" s="45"/>
      <c r="C82" s="45"/>
      <c r="D82" s="45"/>
      <c r="E82" s="95"/>
      <c r="F82" s="45"/>
      <c r="G82" s="60"/>
      <c r="H82" s="92" t="str">
        <f t="shared" si="21"/>
        <v/>
      </c>
      <c r="I82" s="86" t="str">
        <f t="shared" si="22"/>
        <v/>
      </c>
      <c r="J82" s="92" t="str">
        <f t="shared" si="23"/>
        <v/>
      </c>
      <c r="K82" s="92" t="str">
        <f t="shared" si="24"/>
        <v/>
      </c>
      <c r="L82" s="45"/>
      <c r="M82" s="45"/>
      <c r="N82" s="45"/>
      <c r="O82" s="61">
        <f t="shared" si="25"/>
        <v>0</v>
      </c>
      <c r="P82" s="92" t="str">
        <f t="shared" si="26"/>
        <v/>
      </c>
      <c r="Q82" s="92" t="str">
        <f t="shared" si="27"/>
        <v/>
      </c>
    </row>
    <row r="83" spans="1:17">
      <c r="A83" s="45"/>
      <c r="B83" s="45"/>
      <c r="C83" s="45"/>
      <c r="D83" s="45"/>
      <c r="E83" s="95"/>
      <c r="F83" s="45"/>
      <c r="G83" s="60"/>
      <c r="H83" s="92" t="str">
        <f t="shared" si="21"/>
        <v/>
      </c>
      <c r="I83" s="86" t="str">
        <f t="shared" si="22"/>
        <v/>
      </c>
      <c r="J83" s="92" t="str">
        <f t="shared" si="23"/>
        <v/>
      </c>
      <c r="K83" s="92" t="str">
        <f t="shared" si="24"/>
        <v/>
      </c>
      <c r="L83" s="45"/>
      <c r="M83" s="45"/>
      <c r="N83" s="45"/>
      <c r="O83" s="61">
        <f t="shared" si="25"/>
        <v>0</v>
      </c>
      <c r="P83" s="92" t="str">
        <f t="shared" si="26"/>
        <v/>
      </c>
      <c r="Q83" s="92" t="str">
        <f t="shared" si="27"/>
        <v/>
      </c>
    </row>
    <row r="84" spans="1:17">
      <c r="A84" s="45"/>
      <c r="B84" s="45"/>
      <c r="C84" s="45"/>
      <c r="D84" s="45"/>
      <c r="E84" s="95"/>
      <c r="F84" s="45"/>
      <c r="G84" s="60"/>
      <c r="H84" s="92" t="str">
        <f t="shared" si="21"/>
        <v/>
      </c>
      <c r="I84" s="86" t="str">
        <f t="shared" si="22"/>
        <v/>
      </c>
      <c r="J84" s="92" t="str">
        <f t="shared" si="23"/>
        <v/>
      </c>
      <c r="K84" s="92" t="str">
        <f t="shared" si="24"/>
        <v/>
      </c>
      <c r="L84" s="45"/>
      <c r="M84" s="45"/>
      <c r="N84" s="45"/>
      <c r="O84" s="61">
        <f t="shared" si="25"/>
        <v>0</v>
      </c>
      <c r="P84" s="92" t="str">
        <f t="shared" si="26"/>
        <v/>
      </c>
      <c r="Q84" s="92" t="str">
        <f t="shared" si="27"/>
        <v/>
      </c>
    </row>
    <row r="85" spans="1:17">
      <c r="A85" s="45"/>
      <c r="B85" s="45"/>
      <c r="C85" s="45"/>
      <c r="D85" s="45"/>
      <c r="E85" s="95"/>
      <c r="F85" s="45"/>
      <c r="G85" s="60"/>
      <c r="H85" s="92" t="str">
        <f t="shared" si="21"/>
        <v/>
      </c>
      <c r="I85" s="86" t="str">
        <f t="shared" si="22"/>
        <v/>
      </c>
      <c r="J85" s="92" t="str">
        <f t="shared" si="23"/>
        <v/>
      </c>
      <c r="K85" s="92" t="str">
        <f t="shared" si="24"/>
        <v/>
      </c>
      <c r="L85" s="45"/>
      <c r="M85" s="45"/>
      <c r="N85" s="45"/>
      <c r="O85" s="61">
        <f t="shared" si="25"/>
        <v>0</v>
      </c>
      <c r="P85" s="92" t="str">
        <f t="shared" si="26"/>
        <v/>
      </c>
      <c r="Q85" s="92" t="str">
        <f t="shared" si="27"/>
        <v/>
      </c>
    </row>
    <row r="86" spans="1:17">
      <c r="A86" s="45"/>
      <c r="B86" s="45"/>
      <c r="C86" s="45"/>
      <c r="D86" s="45"/>
      <c r="E86" s="95"/>
      <c r="F86" s="45"/>
      <c r="G86" s="60"/>
      <c r="H86" s="92" t="str">
        <f t="shared" si="21"/>
        <v/>
      </c>
      <c r="I86" s="86" t="str">
        <f t="shared" si="22"/>
        <v/>
      </c>
      <c r="J86" s="92" t="str">
        <f t="shared" si="23"/>
        <v/>
      </c>
      <c r="K86" s="92" t="str">
        <f t="shared" si="24"/>
        <v/>
      </c>
      <c r="L86" s="45"/>
      <c r="M86" s="45"/>
      <c r="N86" s="45"/>
      <c r="O86" s="61">
        <f t="shared" si="25"/>
        <v>0</v>
      </c>
      <c r="P86" s="92" t="str">
        <f t="shared" si="26"/>
        <v/>
      </c>
      <c r="Q86" s="92" t="str">
        <f t="shared" si="27"/>
        <v/>
      </c>
    </row>
    <row r="87" spans="1:17">
      <c r="A87" s="57" t="s">
        <v>68</v>
      </c>
      <c r="B87" s="49"/>
      <c r="C87" s="49"/>
      <c r="D87" s="49"/>
      <c r="E87" s="49"/>
      <c r="F87" s="49"/>
      <c r="G87" s="49"/>
      <c r="H87" s="49"/>
      <c r="I87" s="49"/>
      <c r="J87" s="49"/>
      <c r="K87" s="49"/>
      <c r="L87" s="49"/>
      <c r="M87" s="49"/>
      <c r="N87" s="49"/>
      <c r="O87" s="49"/>
      <c r="P87" s="91">
        <f>SUM(P80:P86)</f>
        <v>100000</v>
      </c>
      <c r="Q87" s="96"/>
    </row>
    <row r="88" spans="1:17">
      <c r="A88" s="58" t="s">
        <v>69</v>
      </c>
      <c r="B88" s="59"/>
      <c r="C88" s="59"/>
      <c r="D88" s="59"/>
      <c r="E88" s="59"/>
      <c r="F88" s="59"/>
      <c r="G88" s="59"/>
      <c r="H88" s="59"/>
      <c r="I88" s="59"/>
      <c r="J88" s="59"/>
      <c r="K88" s="59"/>
      <c r="L88" s="59"/>
      <c r="M88" s="59"/>
      <c r="N88" s="59"/>
      <c r="O88" s="59"/>
      <c r="P88" s="97"/>
      <c r="Q88" s="91">
        <f>SUM(Q80:Q86)</f>
        <v>85000</v>
      </c>
    </row>
    <row r="90" spans="1:17">
      <c r="A90" s="17" t="s">
        <v>70</v>
      </c>
      <c r="B90" s="17" t="s">
        <v>47</v>
      </c>
      <c r="C90" s="100" t="s">
        <v>41</v>
      </c>
      <c r="D90" s="101"/>
      <c r="E90" s="17" t="s">
        <v>49</v>
      </c>
      <c r="F90" s="60">
        <v>0</v>
      </c>
      <c r="G90" s="1"/>
    </row>
    <row r="91" spans="1:17">
      <c r="A91" s="2"/>
      <c r="B91" s="2"/>
      <c r="C91" s="1"/>
      <c r="D91" s="1"/>
      <c r="E91" s="2"/>
      <c r="F91" s="56"/>
      <c r="G91" s="1"/>
    </row>
    <row r="92" spans="1:17">
      <c r="A92" s="17" t="s">
        <v>72</v>
      </c>
      <c r="B92" s="17" t="s">
        <v>51</v>
      </c>
      <c r="C92" s="17" t="s">
        <v>52</v>
      </c>
      <c r="D92" s="17" t="s">
        <v>53</v>
      </c>
      <c r="E92" s="17" t="s">
        <v>54</v>
      </c>
      <c r="F92" s="17" t="s">
        <v>55</v>
      </c>
      <c r="G92" s="17" t="s">
        <v>56</v>
      </c>
      <c r="H92" s="17" t="s">
        <v>57</v>
      </c>
      <c r="I92" s="17" t="s">
        <v>58</v>
      </c>
      <c r="J92" s="17" t="s">
        <v>59</v>
      </c>
      <c r="K92" s="17" t="s">
        <v>60</v>
      </c>
      <c r="L92" s="17" t="s">
        <v>61</v>
      </c>
      <c r="M92" s="17" t="s">
        <v>62</v>
      </c>
      <c r="N92" s="17" t="s">
        <v>63</v>
      </c>
      <c r="O92" s="17" t="s">
        <v>64</v>
      </c>
      <c r="P92" s="17" t="s">
        <v>65</v>
      </c>
      <c r="Q92" s="17" t="s">
        <v>66</v>
      </c>
    </row>
    <row r="93" spans="1:17">
      <c r="A93" s="45"/>
      <c r="B93" s="45"/>
      <c r="C93" s="45"/>
      <c r="D93" s="45"/>
      <c r="E93" s="95"/>
      <c r="F93" s="45"/>
      <c r="G93" s="60"/>
      <c r="H93" s="92" t="str">
        <f>IFERROR((E93/B93)*((F93*G93)/C93),"")</f>
        <v/>
      </c>
      <c r="I93" s="86" t="str">
        <f>IFERROR(VLOOKUP(A93,$A$8:$B$13,2,0),"")</f>
        <v/>
      </c>
      <c r="J93" s="92" t="str">
        <f>IFERROR(E93*(1-I93),"")</f>
        <v/>
      </c>
      <c r="K93" s="92" t="str">
        <f>IFERROR(H93*(1-I93),"")</f>
        <v/>
      </c>
      <c r="L93" s="45"/>
      <c r="M93" s="45"/>
      <c r="N93" s="45"/>
      <c r="O93" s="61">
        <f>M93*N93</f>
        <v>0</v>
      </c>
      <c r="P93" s="92" t="str">
        <f>IFERROR(O93*H93,"")</f>
        <v/>
      </c>
      <c r="Q93" s="92" t="str">
        <f>IFERROR(O93*K93,"")</f>
        <v/>
      </c>
    </row>
    <row r="94" spans="1:17">
      <c r="A94" s="45"/>
      <c r="B94" s="45"/>
      <c r="C94" s="45"/>
      <c r="D94" s="45"/>
      <c r="E94" s="95"/>
      <c r="F94" s="45"/>
      <c r="G94" s="60"/>
      <c r="H94" s="92" t="str">
        <f t="shared" ref="H94:H99" si="28">IFERROR((E94/B94)*((F94*G94)/C94),"")</f>
        <v/>
      </c>
      <c r="I94" s="86" t="str">
        <f t="shared" ref="I94:I99" si="29">IFERROR(VLOOKUP(A94,$A$8:$B$13,2,0),"")</f>
        <v/>
      </c>
      <c r="J94" s="92" t="str">
        <f t="shared" ref="J94:J99" si="30">IFERROR(E94*(1-I94),"")</f>
        <v/>
      </c>
      <c r="K94" s="92" t="str">
        <f t="shared" ref="K94:K99" si="31">IFERROR(H94*(1-I94),"")</f>
        <v/>
      </c>
      <c r="L94" s="45"/>
      <c r="M94" s="45"/>
      <c r="N94" s="45"/>
      <c r="O94" s="61">
        <f t="shared" ref="O94:O99" si="32">M94*N94</f>
        <v>0</v>
      </c>
      <c r="P94" s="92" t="str">
        <f t="shared" ref="P94:P99" si="33">IFERROR(O94*H94,"")</f>
        <v/>
      </c>
      <c r="Q94" s="92" t="str">
        <f t="shared" ref="Q94:Q99" si="34">IFERROR(O94*K94,"")</f>
        <v/>
      </c>
    </row>
    <row r="95" spans="1:17">
      <c r="A95" s="45"/>
      <c r="B95" s="45"/>
      <c r="C95" s="45"/>
      <c r="D95" s="45"/>
      <c r="E95" s="95"/>
      <c r="F95" s="45"/>
      <c r="G95" s="60"/>
      <c r="H95" s="92" t="str">
        <f t="shared" si="28"/>
        <v/>
      </c>
      <c r="I95" s="86" t="str">
        <f t="shared" si="29"/>
        <v/>
      </c>
      <c r="J95" s="92" t="str">
        <f t="shared" si="30"/>
        <v/>
      </c>
      <c r="K95" s="92" t="str">
        <f t="shared" si="31"/>
        <v/>
      </c>
      <c r="L95" s="45"/>
      <c r="M95" s="45"/>
      <c r="N95" s="45"/>
      <c r="O95" s="61">
        <f t="shared" si="32"/>
        <v>0</v>
      </c>
      <c r="P95" s="92" t="str">
        <f t="shared" si="33"/>
        <v/>
      </c>
      <c r="Q95" s="92" t="str">
        <f t="shared" si="34"/>
        <v/>
      </c>
    </row>
    <row r="96" spans="1:17">
      <c r="A96" s="45"/>
      <c r="B96" s="45"/>
      <c r="C96" s="45"/>
      <c r="D96" s="45"/>
      <c r="E96" s="95"/>
      <c r="F96" s="45"/>
      <c r="G96" s="60"/>
      <c r="H96" s="92" t="str">
        <f t="shared" si="28"/>
        <v/>
      </c>
      <c r="I96" s="86" t="str">
        <f t="shared" si="29"/>
        <v/>
      </c>
      <c r="J96" s="92" t="str">
        <f t="shared" si="30"/>
        <v/>
      </c>
      <c r="K96" s="92" t="str">
        <f t="shared" si="31"/>
        <v/>
      </c>
      <c r="L96" s="45"/>
      <c r="M96" s="45"/>
      <c r="N96" s="45"/>
      <c r="O96" s="61">
        <f t="shared" si="32"/>
        <v>0</v>
      </c>
      <c r="P96" s="92" t="str">
        <f t="shared" si="33"/>
        <v/>
      </c>
      <c r="Q96" s="92" t="str">
        <f t="shared" si="34"/>
        <v/>
      </c>
    </row>
    <row r="97" spans="1:17">
      <c r="A97" s="45"/>
      <c r="B97" s="45"/>
      <c r="C97" s="45"/>
      <c r="D97" s="45"/>
      <c r="E97" s="95"/>
      <c r="F97" s="45"/>
      <c r="G97" s="60"/>
      <c r="H97" s="92" t="str">
        <f t="shared" si="28"/>
        <v/>
      </c>
      <c r="I97" s="86" t="str">
        <f t="shared" si="29"/>
        <v/>
      </c>
      <c r="J97" s="92" t="str">
        <f t="shared" si="30"/>
        <v/>
      </c>
      <c r="K97" s="92" t="str">
        <f t="shared" si="31"/>
        <v/>
      </c>
      <c r="L97" s="45"/>
      <c r="M97" s="45"/>
      <c r="N97" s="45"/>
      <c r="O97" s="61">
        <f t="shared" si="32"/>
        <v>0</v>
      </c>
      <c r="P97" s="92" t="str">
        <f t="shared" si="33"/>
        <v/>
      </c>
      <c r="Q97" s="92" t="str">
        <f t="shared" si="34"/>
        <v/>
      </c>
    </row>
    <row r="98" spans="1:17">
      <c r="A98" s="45"/>
      <c r="B98" s="45"/>
      <c r="C98" s="45"/>
      <c r="D98" s="45"/>
      <c r="E98" s="95"/>
      <c r="F98" s="45"/>
      <c r="G98" s="60"/>
      <c r="H98" s="92" t="str">
        <f t="shared" si="28"/>
        <v/>
      </c>
      <c r="I98" s="86" t="str">
        <f t="shared" si="29"/>
        <v/>
      </c>
      <c r="J98" s="92" t="str">
        <f t="shared" si="30"/>
        <v/>
      </c>
      <c r="K98" s="92" t="str">
        <f t="shared" si="31"/>
        <v/>
      </c>
      <c r="L98" s="45"/>
      <c r="M98" s="45"/>
      <c r="N98" s="45"/>
      <c r="O98" s="61">
        <f t="shared" si="32"/>
        <v>0</v>
      </c>
      <c r="P98" s="92" t="str">
        <f t="shared" si="33"/>
        <v/>
      </c>
      <c r="Q98" s="92" t="str">
        <f t="shared" si="34"/>
        <v/>
      </c>
    </row>
    <row r="99" spans="1:17">
      <c r="A99" s="45"/>
      <c r="B99" s="45"/>
      <c r="C99" s="45"/>
      <c r="D99" s="45"/>
      <c r="E99" s="95"/>
      <c r="F99" s="45"/>
      <c r="G99" s="60"/>
      <c r="H99" s="92" t="str">
        <f t="shared" si="28"/>
        <v/>
      </c>
      <c r="I99" s="86" t="str">
        <f t="shared" si="29"/>
        <v/>
      </c>
      <c r="J99" s="92" t="str">
        <f t="shared" si="30"/>
        <v/>
      </c>
      <c r="K99" s="92" t="str">
        <f t="shared" si="31"/>
        <v/>
      </c>
      <c r="L99" s="45"/>
      <c r="M99" s="45"/>
      <c r="N99" s="45"/>
      <c r="O99" s="61">
        <f t="shared" si="32"/>
        <v>0</v>
      </c>
      <c r="P99" s="92" t="str">
        <f t="shared" si="33"/>
        <v/>
      </c>
      <c r="Q99" s="92" t="str">
        <f t="shared" si="34"/>
        <v/>
      </c>
    </row>
    <row r="100" spans="1:17">
      <c r="A100" s="57" t="s">
        <v>68</v>
      </c>
      <c r="B100" s="49"/>
      <c r="C100" s="49"/>
      <c r="D100" s="49"/>
      <c r="E100" s="49"/>
      <c r="F100" s="49"/>
      <c r="G100" s="49"/>
      <c r="H100" s="49"/>
      <c r="I100" s="49"/>
      <c r="J100" s="49"/>
      <c r="K100" s="49"/>
      <c r="L100" s="49"/>
      <c r="M100" s="49"/>
      <c r="N100" s="49"/>
      <c r="O100" s="49"/>
      <c r="P100" s="91">
        <f>SUM(P93:P99)</f>
        <v>0</v>
      </c>
      <c r="Q100" s="96"/>
    </row>
    <row r="101" spans="1:17">
      <c r="A101" s="58" t="s">
        <v>69</v>
      </c>
      <c r="B101" s="59"/>
      <c r="C101" s="59"/>
      <c r="D101" s="59"/>
      <c r="E101" s="59"/>
      <c r="F101" s="59"/>
      <c r="G101" s="59"/>
      <c r="H101" s="59"/>
      <c r="I101" s="59"/>
      <c r="J101" s="59"/>
      <c r="K101" s="59"/>
      <c r="L101" s="59"/>
      <c r="M101" s="59"/>
      <c r="N101" s="59"/>
      <c r="O101" s="59"/>
      <c r="P101" s="97"/>
      <c r="Q101" s="91">
        <f>SUM(Q93:Q99)</f>
        <v>0</v>
      </c>
    </row>
    <row r="103" spans="1:17">
      <c r="A103" s="17" t="s">
        <v>73</v>
      </c>
      <c r="B103" s="17" t="s">
        <v>47</v>
      </c>
      <c r="C103" s="100" t="s">
        <v>41</v>
      </c>
      <c r="D103" s="101"/>
      <c r="E103" s="17" t="s">
        <v>49</v>
      </c>
      <c r="F103" s="60">
        <v>0</v>
      </c>
      <c r="G103" s="1"/>
    </row>
    <row r="104" spans="1:17">
      <c r="A104" s="2"/>
      <c r="B104" s="2"/>
      <c r="C104" s="1"/>
      <c r="D104" s="1"/>
      <c r="E104" s="2"/>
      <c r="F104" s="56"/>
      <c r="G104" s="1"/>
    </row>
    <row r="105" spans="1:17">
      <c r="A105" s="67" t="s">
        <v>72</v>
      </c>
      <c r="B105" s="67" t="s">
        <v>51</v>
      </c>
      <c r="C105" s="17" t="s">
        <v>52</v>
      </c>
      <c r="D105" s="17" t="s">
        <v>53</v>
      </c>
      <c r="E105" s="67" t="s">
        <v>54</v>
      </c>
      <c r="F105" s="67" t="s">
        <v>55</v>
      </c>
      <c r="G105" s="17" t="s">
        <v>56</v>
      </c>
      <c r="H105" s="17" t="s">
        <v>57</v>
      </c>
      <c r="I105" s="67" t="s">
        <v>58</v>
      </c>
      <c r="J105" s="67" t="s">
        <v>59</v>
      </c>
      <c r="K105" s="17" t="s">
        <v>60</v>
      </c>
      <c r="L105" s="67" t="s">
        <v>61</v>
      </c>
      <c r="M105" s="67" t="s">
        <v>62</v>
      </c>
      <c r="N105" s="67" t="s">
        <v>63</v>
      </c>
      <c r="O105" s="67" t="s">
        <v>64</v>
      </c>
      <c r="P105" s="67" t="s">
        <v>65</v>
      </c>
      <c r="Q105" s="67" t="s">
        <v>66</v>
      </c>
    </row>
    <row r="106" spans="1:17">
      <c r="A106" s="45"/>
      <c r="B106" s="45"/>
      <c r="C106" s="45"/>
      <c r="D106" s="45"/>
      <c r="E106" s="95"/>
      <c r="F106" s="45"/>
      <c r="G106" s="60"/>
      <c r="H106" s="92" t="str">
        <f>IFERROR((E106/B106)*((F106*G106)/C106),"")</f>
        <v/>
      </c>
      <c r="I106" s="86" t="str">
        <f>IFERROR(VLOOKUP(A106,$A$8:$B$13,2,0),"")</f>
        <v/>
      </c>
      <c r="J106" s="92" t="str">
        <f>IFERROR(E106*(1-I106),"")</f>
        <v/>
      </c>
      <c r="K106" s="92" t="str">
        <f>IFERROR(H106*(1-I106),"")</f>
        <v/>
      </c>
      <c r="L106" s="45"/>
      <c r="M106" s="45"/>
      <c r="N106" s="45"/>
      <c r="O106" s="61">
        <f>M106*N106</f>
        <v>0</v>
      </c>
      <c r="P106" s="92" t="str">
        <f>IFERROR(O106*H106,"")</f>
        <v/>
      </c>
      <c r="Q106" s="92" t="str">
        <f>IFERROR(O106*K106,"")</f>
        <v/>
      </c>
    </row>
    <row r="107" spans="1:17">
      <c r="A107" s="45"/>
      <c r="B107" s="45"/>
      <c r="C107" s="45"/>
      <c r="D107" s="45"/>
      <c r="E107" s="95"/>
      <c r="F107" s="45"/>
      <c r="G107" s="60"/>
      <c r="H107" s="92" t="str">
        <f t="shared" ref="H107:H112" si="35">IFERROR((E107/B107)*((F107*G107)/C107),"")</f>
        <v/>
      </c>
      <c r="I107" s="86" t="str">
        <f t="shared" ref="I107:I112" si="36">IFERROR(VLOOKUP(A107,$A$8:$B$13,2,0),"")</f>
        <v/>
      </c>
      <c r="J107" s="92" t="str">
        <f t="shared" ref="J107:J112" si="37">IFERROR(E107*(1-I107),"")</f>
        <v/>
      </c>
      <c r="K107" s="92" t="str">
        <f t="shared" ref="K107:K112" si="38">IFERROR(H107*(1-I107),"")</f>
        <v/>
      </c>
      <c r="L107" s="45"/>
      <c r="M107" s="45"/>
      <c r="N107" s="45"/>
      <c r="O107" s="61">
        <f t="shared" ref="O107:O112" si="39">M107*N107</f>
        <v>0</v>
      </c>
      <c r="P107" s="92" t="str">
        <f t="shared" ref="P107:P112" si="40">IFERROR(O107*H107,"")</f>
        <v/>
      </c>
      <c r="Q107" s="92" t="str">
        <f t="shared" ref="Q107:Q112" si="41">IFERROR(O107*K107,"")</f>
        <v/>
      </c>
    </row>
    <row r="108" spans="1:17">
      <c r="A108" s="45"/>
      <c r="B108" s="45"/>
      <c r="C108" s="45"/>
      <c r="D108" s="45"/>
      <c r="E108" s="95"/>
      <c r="F108" s="45"/>
      <c r="G108" s="60"/>
      <c r="H108" s="92" t="str">
        <f t="shared" si="35"/>
        <v/>
      </c>
      <c r="I108" s="86" t="str">
        <f t="shared" si="36"/>
        <v/>
      </c>
      <c r="J108" s="92" t="str">
        <f t="shared" si="37"/>
        <v/>
      </c>
      <c r="K108" s="92" t="str">
        <f t="shared" si="38"/>
        <v/>
      </c>
      <c r="L108" s="45"/>
      <c r="M108" s="45"/>
      <c r="N108" s="45"/>
      <c r="O108" s="61">
        <f t="shared" si="39"/>
        <v>0</v>
      </c>
      <c r="P108" s="92" t="str">
        <f t="shared" si="40"/>
        <v/>
      </c>
      <c r="Q108" s="92" t="str">
        <f t="shared" si="41"/>
        <v/>
      </c>
    </row>
    <row r="109" spans="1:17">
      <c r="A109" s="45"/>
      <c r="B109" s="45"/>
      <c r="C109" s="45"/>
      <c r="D109" s="45"/>
      <c r="E109" s="95"/>
      <c r="F109" s="45"/>
      <c r="G109" s="60"/>
      <c r="H109" s="92" t="str">
        <f t="shared" si="35"/>
        <v/>
      </c>
      <c r="I109" s="86" t="str">
        <f t="shared" si="36"/>
        <v/>
      </c>
      <c r="J109" s="92" t="str">
        <f t="shared" si="37"/>
        <v/>
      </c>
      <c r="K109" s="92" t="str">
        <f t="shared" si="38"/>
        <v/>
      </c>
      <c r="L109" s="45"/>
      <c r="M109" s="45"/>
      <c r="N109" s="45"/>
      <c r="O109" s="61">
        <f t="shared" si="39"/>
        <v>0</v>
      </c>
      <c r="P109" s="92" t="str">
        <f t="shared" si="40"/>
        <v/>
      </c>
      <c r="Q109" s="92" t="str">
        <f t="shared" si="41"/>
        <v/>
      </c>
    </row>
    <row r="110" spans="1:17">
      <c r="A110" s="45"/>
      <c r="B110" s="45"/>
      <c r="C110" s="45"/>
      <c r="D110" s="45"/>
      <c r="E110" s="95"/>
      <c r="F110" s="45"/>
      <c r="G110" s="60"/>
      <c r="H110" s="92" t="str">
        <f t="shared" si="35"/>
        <v/>
      </c>
      <c r="I110" s="86" t="str">
        <f t="shared" si="36"/>
        <v/>
      </c>
      <c r="J110" s="92" t="str">
        <f t="shared" si="37"/>
        <v/>
      </c>
      <c r="K110" s="92" t="str">
        <f t="shared" si="38"/>
        <v/>
      </c>
      <c r="L110" s="45"/>
      <c r="M110" s="45"/>
      <c r="N110" s="45"/>
      <c r="O110" s="61">
        <f t="shared" si="39"/>
        <v>0</v>
      </c>
      <c r="P110" s="92" t="str">
        <f t="shared" si="40"/>
        <v/>
      </c>
      <c r="Q110" s="92" t="str">
        <f t="shared" si="41"/>
        <v/>
      </c>
    </row>
    <row r="111" spans="1:17">
      <c r="A111" s="45"/>
      <c r="B111" s="45"/>
      <c r="C111" s="45"/>
      <c r="D111" s="45"/>
      <c r="E111" s="95"/>
      <c r="F111" s="45"/>
      <c r="G111" s="60"/>
      <c r="H111" s="92" t="str">
        <f t="shared" si="35"/>
        <v/>
      </c>
      <c r="I111" s="86" t="str">
        <f t="shared" si="36"/>
        <v/>
      </c>
      <c r="J111" s="92" t="str">
        <f t="shared" si="37"/>
        <v/>
      </c>
      <c r="K111" s="92" t="str">
        <f t="shared" si="38"/>
        <v/>
      </c>
      <c r="L111" s="45"/>
      <c r="M111" s="45"/>
      <c r="N111" s="45"/>
      <c r="O111" s="61">
        <f t="shared" si="39"/>
        <v>0</v>
      </c>
      <c r="P111" s="92" t="str">
        <f t="shared" si="40"/>
        <v/>
      </c>
      <c r="Q111" s="92" t="str">
        <f t="shared" si="41"/>
        <v/>
      </c>
    </row>
    <row r="112" spans="1:17">
      <c r="A112" s="45"/>
      <c r="B112" s="45"/>
      <c r="C112" s="45"/>
      <c r="D112" s="45"/>
      <c r="E112" s="95"/>
      <c r="F112" s="45"/>
      <c r="G112" s="60"/>
      <c r="H112" s="92" t="str">
        <f t="shared" si="35"/>
        <v/>
      </c>
      <c r="I112" s="86" t="str">
        <f t="shared" si="36"/>
        <v/>
      </c>
      <c r="J112" s="92" t="str">
        <f t="shared" si="37"/>
        <v/>
      </c>
      <c r="K112" s="92" t="str">
        <f t="shared" si="38"/>
        <v/>
      </c>
      <c r="L112" s="45"/>
      <c r="M112" s="45"/>
      <c r="N112" s="45"/>
      <c r="O112" s="61">
        <f t="shared" si="39"/>
        <v>0</v>
      </c>
      <c r="P112" s="92" t="str">
        <f t="shared" si="40"/>
        <v/>
      </c>
      <c r="Q112" s="92" t="str">
        <f t="shared" si="41"/>
        <v/>
      </c>
    </row>
    <row r="113" spans="1:17">
      <c r="A113" s="57" t="s">
        <v>68</v>
      </c>
      <c r="B113" s="49"/>
      <c r="C113" s="49"/>
      <c r="D113" s="49"/>
      <c r="E113" s="49"/>
      <c r="F113" s="49"/>
      <c r="G113" s="49"/>
      <c r="H113" s="49"/>
      <c r="I113" s="49"/>
      <c r="J113" s="49"/>
      <c r="K113" s="49"/>
      <c r="L113" s="49"/>
      <c r="M113" s="49"/>
      <c r="N113" s="49"/>
      <c r="O113" s="49"/>
      <c r="P113" s="91">
        <f>SUM(P106:P112)</f>
        <v>0</v>
      </c>
      <c r="Q113" s="96"/>
    </row>
    <row r="114" spans="1:17">
      <c r="A114" s="58" t="s">
        <v>69</v>
      </c>
      <c r="B114" s="59"/>
      <c r="C114" s="59"/>
      <c r="D114" s="59"/>
      <c r="E114" s="59"/>
      <c r="F114" s="59"/>
      <c r="G114" s="59"/>
      <c r="H114" s="59"/>
      <c r="I114" s="59"/>
      <c r="J114" s="59"/>
      <c r="K114" s="59"/>
      <c r="L114" s="59"/>
      <c r="M114" s="59"/>
      <c r="N114" s="59"/>
      <c r="O114" s="59"/>
      <c r="P114" s="97"/>
      <c r="Q114" s="91">
        <f>SUM(Q106:Q112)</f>
        <v>0</v>
      </c>
    </row>
    <row r="116" spans="1:17">
      <c r="A116" s="16" t="s">
        <v>104</v>
      </c>
    </row>
    <row r="117" spans="1:17">
      <c r="A117" s="57" t="s">
        <v>105</v>
      </c>
      <c r="B117" s="49"/>
      <c r="C117" s="49"/>
      <c r="D117" s="49"/>
      <c r="E117" s="49"/>
      <c r="F117" s="49"/>
      <c r="G117" s="49"/>
      <c r="H117" s="49"/>
      <c r="I117" s="49"/>
      <c r="J117" s="49"/>
      <c r="K117" s="49"/>
      <c r="L117" s="49"/>
      <c r="M117" s="49"/>
      <c r="N117" s="49"/>
      <c r="O117" s="49"/>
      <c r="P117" s="91">
        <f>P87*F77+P100*F90+P113*F103</f>
        <v>100000</v>
      </c>
      <c r="Q117" s="93"/>
    </row>
    <row r="118" spans="1:17">
      <c r="A118" s="58" t="s">
        <v>106</v>
      </c>
      <c r="B118" s="59"/>
      <c r="C118" s="59"/>
      <c r="D118" s="59"/>
      <c r="E118" s="59"/>
      <c r="F118" s="59"/>
      <c r="G118" s="59"/>
      <c r="H118" s="59"/>
      <c r="I118" s="59"/>
      <c r="J118" s="59"/>
      <c r="K118" s="59"/>
      <c r="L118" s="59"/>
      <c r="M118" s="59"/>
      <c r="N118" s="59"/>
      <c r="O118" s="59"/>
      <c r="P118" s="94"/>
      <c r="Q118" s="91">
        <f>Q88*F77+Q101*F90+Q114*F103</f>
        <v>85000</v>
      </c>
    </row>
    <row r="120" spans="1:17" s="9" customFormat="1"/>
    <row r="122" spans="1:17">
      <c r="A122" s="13" t="s">
        <v>107</v>
      </c>
      <c r="C122" s="1"/>
      <c r="D122" s="1"/>
      <c r="E122" s="2"/>
    </row>
    <row r="123" spans="1:17">
      <c r="A123" s="17" t="s">
        <v>91</v>
      </c>
      <c r="B123" s="104" t="s">
        <v>108</v>
      </c>
      <c r="C123" s="105"/>
      <c r="D123" s="105"/>
      <c r="E123" s="106"/>
      <c r="H123" s="65"/>
    </row>
    <row r="124" spans="1:17">
      <c r="A124" s="2"/>
      <c r="B124" s="25"/>
      <c r="C124" s="1"/>
      <c r="D124" s="1"/>
      <c r="E124" s="2"/>
      <c r="H124" s="65"/>
    </row>
    <row r="125" spans="1:17">
      <c r="A125" s="17" t="s">
        <v>93</v>
      </c>
      <c r="B125" s="60">
        <v>0.3</v>
      </c>
      <c r="C125" s="1"/>
      <c r="D125" s="1"/>
      <c r="E125" s="2"/>
      <c r="H125" s="65"/>
    </row>
    <row r="126" spans="1:17">
      <c r="B126" s="19"/>
    </row>
    <row r="127" spans="1:17">
      <c r="A127" s="17" t="s">
        <v>38</v>
      </c>
      <c r="B127" s="100" t="s">
        <v>109</v>
      </c>
      <c r="C127" s="103"/>
      <c r="D127" s="103"/>
      <c r="E127" s="101"/>
    </row>
    <row r="128" spans="1:17">
      <c r="B128" s="25"/>
    </row>
    <row r="129" spans="1:17">
      <c r="A129" s="17" t="s">
        <v>46</v>
      </c>
      <c r="B129" s="17" t="s">
        <v>47</v>
      </c>
      <c r="C129" s="100" t="s">
        <v>110</v>
      </c>
      <c r="D129" s="101"/>
      <c r="E129" s="17" t="s">
        <v>49</v>
      </c>
      <c r="F129" s="60">
        <v>0.8</v>
      </c>
      <c r="G129" s="1"/>
    </row>
    <row r="130" spans="1:17">
      <c r="A130" s="2"/>
      <c r="B130" s="2"/>
      <c r="E130" s="2"/>
      <c r="F130" s="68"/>
      <c r="G130" s="1"/>
    </row>
    <row r="131" spans="1:17">
      <c r="A131" s="17" t="s">
        <v>50</v>
      </c>
      <c r="B131" s="17" t="s">
        <v>51</v>
      </c>
      <c r="C131" s="17" t="s">
        <v>52</v>
      </c>
      <c r="D131" s="17" t="s">
        <v>53</v>
      </c>
      <c r="E131" s="17" t="s">
        <v>54</v>
      </c>
      <c r="F131" s="17" t="s">
        <v>55</v>
      </c>
      <c r="G131" s="17" t="s">
        <v>56</v>
      </c>
      <c r="H131" s="17" t="s">
        <v>57</v>
      </c>
      <c r="I131" s="17" t="s">
        <v>58</v>
      </c>
      <c r="J131" s="17" t="s">
        <v>59</v>
      </c>
      <c r="K131" s="17" t="s">
        <v>60</v>
      </c>
      <c r="L131" s="17" t="s">
        <v>61</v>
      </c>
      <c r="M131" s="17" t="s">
        <v>62</v>
      </c>
      <c r="N131" s="17" t="s">
        <v>63</v>
      </c>
      <c r="O131" s="17" t="s">
        <v>64</v>
      </c>
      <c r="P131" s="17" t="s">
        <v>65</v>
      </c>
      <c r="Q131" s="17" t="s">
        <v>66</v>
      </c>
    </row>
    <row r="132" spans="1:17">
      <c r="A132" s="45" t="s">
        <v>86</v>
      </c>
      <c r="B132" s="45">
        <v>64</v>
      </c>
      <c r="C132" s="45">
        <v>100</v>
      </c>
      <c r="D132" s="45" t="s">
        <v>67</v>
      </c>
      <c r="E132" s="95">
        <v>4000</v>
      </c>
      <c r="F132" s="45">
        <v>200</v>
      </c>
      <c r="G132" s="60">
        <v>1</v>
      </c>
      <c r="H132" s="92">
        <f>IFERROR((E132/B132)*((F132*G132)/C132),"")</f>
        <v>125</v>
      </c>
      <c r="I132" s="86">
        <f>IFERROR(VLOOKUP(A132,$A$8:$B$13,2,0),"")</f>
        <v>0.2</v>
      </c>
      <c r="J132" s="92">
        <f>IFERROR(E132*(1-I132),"")</f>
        <v>3200</v>
      </c>
      <c r="K132" s="92">
        <f>IFERROR(H132*(1-I132),"")</f>
        <v>100</v>
      </c>
      <c r="L132" s="45">
        <v>365</v>
      </c>
      <c r="M132" s="45">
        <v>365</v>
      </c>
      <c r="N132" s="45">
        <v>1</v>
      </c>
      <c r="O132" s="61">
        <f>M132*N132</f>
        <v>365</v>
      </c>
      <c r="P132" s="92">
        <f>IFERROR(O132*H132,"")</f>
        <v>45625</v>
      </c>
      <c r="Q132" s="92">
        <f>IFERROR(O132*K132,"")</f>
        <v>36500</v>
      </c>
    </row>
    <row r="133" spans="1:17">
      <c r="A133" s="45"/>
      <c r="B133" s="45"/>
      <c r="C133" s="45"/>
      <c r="D133" s="45"/>
      <c r="E133" s="95"/>
      <c r="F133" s="45"/>
      <c r="G133" s="60"/>
      <c r="H133" s="92" t="str">
        <f t="shared" ref="H133:H138" si="42">IFERROR((E133/B133)*((F133*G133)/C133),"")</f>
        <v/>
      </c>
      <c r="I133" s="86" t="str">
        <f t="shared" ref="I133:I138" si="43">IFERROR(VLOOKUP(A133,$A$8:$B$13,2,0),"")</f>
        <v/>
      </c>
      <c r="J133" s="92" t="str">
        <f t="shared" ref="J133:J138" si="44">IFERROR(E133*(1-I133),"")</f>
        <v/>
      </c>
      <c r="K133" s="92" t="str">
        <f t="shared" ref="K133:K138" si="45">IFERROR(H133*(1-I133),"")</f>
        <v/>
      </c>
      <c r="L133" s="45"/>
      <c r="M133" s="45"/>
      <c r="N133" s="45"/>
      <c r="O133" s="61">
        <f t="shared" ref="O133:O138" si="46">M133*N133</f>
        <v>0</v>
      </c>
      <c r="P133" s="92" t="str">
        <f t="shared" ref="P133:P138" si="47">IFERROR(O133*H133,"")</f>
        <v/>
      </c>
      <c r="Q133" s="92" t="str">
        <f t="shared" ref="Q133:Q138" si="48">IFERROR(O133*K133,"")</f>
        <v/>
      </c>
    </row>
    <row r="134" spans="1:17">
      <c r="A134" s="45"/>
      <c r="B134" s="45"/>
      <c r="C134" s="45"/>
      <c r="D134" s="45"/>
      <c r="E134" s="95"/>
      <c r="F134" s="45"/>
      <c r="G134" s="60"/>
      <c r="H134" s="92" t="str">
        <f t="shared" si="42"/>
        <v/>
      </c>
      <c r="I134" s="86" t="str">
        <f t="shared" si="43"/>
        <v/>
      </c>
      <c r="J134" s="92" t="str">
        <f t="shared" si="44"/>
        <v/>
      </c>
      <c r="K134" s="92" t="str">
        <f t="shared" si="45"/>
        <v/>
      </c>
      <c r="L134" s="45"/>
      <c r="M134" s="45"/>
      <c r="N134" s="45"/>
      <c r="O134" s="61">
        <f t="shared" si="46"/>
        <v>0</v>
      </c>
      <c r="P134" s="92" t="str">
        <f t="shared" si="47"/>
        <v/>
      </c>
      <c r="Q134" s="92" t="str">
        <f t="shared" si="48"/>
        <v/>
      </c>
    </row>
    <row r="135" spans="1:17">
      <c r="A135" s="45"/>
      <c r="B135" s="45"/>
      <c r="C135" s="45"/>
      <c r="D135" s="45"/>
      <c r="E135" s="95"/>
      <c r="F135" s="45"/>
      <c r="G135" s="60"/>
      <c r="H135" s="92" t="str">
        <f t="shared" si="42"/>
        <v/>
      </c>
      <c r="I135" s="86" t="str">
        <f t="shared" si="43"/>
        <v/>
      </c>
      <c r="J135" s="92" t="str">
        <f t="shared" si="44"/>
        <v/>
      </c>
      <c r="K135" s="92" t="str">
        <f t="shared" si="45"/>
        <v/>
      </c>
      <c r="L135" s="45"/>
      <c r="M135" s="45"/>
      <c r="N135" s="45"/>
      <c r="O135" s="61">
        <f t="shared" si="46"/>
        <v>0</v>
      </c>
      <c r="P135" s="92" t="str">
        <f t="shared" si="47"/>
        <v/>
      </c>
      <c r="Q135" s="92" t="str">
        <f t="shared" si="48"/>
        <v/>
      </c>
    </row>
    <row r="136" spans="1:17">
      <c r="A136" s="45"/>
      <c r="B136" s="45"/>
      <c r="C136" s="45"/>
      <c r="D136" s="45"/>
      <c r="E136" s="95"/>
      <c r="F136" s="45"/>
      <c r="G136" s="60"/>
      <c r="H136" s="92" t="str">
        <f t="shared" si="42"/>
        <v/>
      </c>
      <c r="I136" s="86" t="str">
        <f t="shared" si="43"/>
        <v/>
      </c>
      <c r="J136" s="92" t="str">
        <f t="shared" si="44"/>
        <v/>
      </c>
      <c r="K136" s="92" t="str">
        <f t="shared" si="45"/>
        <v/>
      </c>
      <c r="L136" s="45"/>
      <c r="M136" s="45"/>
      <c r="N136" s="45"/>
      <c r="O136" s="61">
        <f t="shared" si="46"/>
        <v>0</v>
      </c>
      <c r="P136" s="92" t="str">
        <f t="shared" si="47"/>
        <v/>
      </c>
      <c r="Q136" s="92" t="str">
        <f t="shared" si="48"/>
        <v/>
      </c>
    </row>
    <row r="137" spans="1:17">
      <c r="A137" s="45"/>
      <c r="B137" s="45"/>
      <c r="C137" s="45"/>
      <c r="D137" s="45"/>
      <c r="E137" s="95"/>
      <c r="F137" s="45"/>
      <c r="G137" s="60"/>
      <c r="H137" s="92" t="str">
        <f t="shared" si="42"/>
        <v/>
      </c>
      <c r="I137" s="86" t="str">
        <f t="shared" si="43"/>
        <v/>
      </c>
      <c r="J137" s="92" t="str">
        <f t="shared" si="44"/>
        <v/>
      </c>
      <c r="K137" s="92" t="str">
        <f t="shared" si="45"/>
        <v/>
      </c>
      <c r="L137" s="45"/>
      <c r="M137" s="45"/>
      <c r="N137" s="45"/>
      <c r="O137" s="61">
        <f t="shared" si="46"/>
        <v>0</v>
      </c>
      <c r="P137" s="92" t="str">
        <f t="shared" si="47"/>
        <v/>
      </c>
      <c r="Q137" s="92" t="str">
        <f t="shared" si="48"/>
        <v/>
      </c>
    </row>
    <row r="138" spans="1:17">
      <c r="A138" s="45"/>
      <c r="B138" s="45"/>
      <c r="C138" s="45"/>
      <c r="D138" s="45"/>
      <c r="E138" s="95"/>
      <c r="F138" s="45"/>
      <c r="G138" s="60"/>
      <c r="H138" s="92" t="str">
        <f t="shared" si="42"/>
        <v/>
      </c>
      <c r="I138" s="86" t="str">
        <f t="shared" si="43"/>
        <v/>
      </c>
      <c r="J138" s="92" t="str">
        <f t="shared" si="44"/>
        <v/>
      </c>
      <c r="K138" s="92" t="str">
        <f t="shared" si="45"/>
        <v/>
      </c>
      <c r="L138" s="45"/>
      <c r="M138" s="45"/>
      <c r="N138" s="45"/>
      <c r="O138" s="61">
        <f t="shared" si="46"/>
        <v>0</v>
      </c>
      <c r="P138" s="92" t="str">
        <f t="shared" si="47"/>
        <v/>
      </c>
      <c r="Q138" s="92" t="str">
        <f t="shared" si="48"/>
        <v/>
      </c>
    </row>
    <row r="139" spans="1:17">
      <c r="A139" s="57" t="s">
        <v>68</v>
      </c>
      <c r="B139" s="49"/>
      <c r="C139" s="49"/>
      <c r="D139" s="49"/>
      <c r="E139" s="49"/>
      <c r="F139" s="49"/>
      <c r="G139" s="49"/>
      <c r="H139" s="49"/>
      <c r="I139" s="49"/>
      <c r="J139" s="49"/>
      <c r="K139" s="49"/>
      <c r="L139" s="49"/>
      <c r="M139" s="49"/>
      <c r="N139" s="49"/>
      <c r="O139" s="49"/>
      <c r="P139" s="91">
        <f>SUM(P132:P138)</f>
        <v>45625</v>
      </c>
      <c r="Q139" s="96"/>
    </row>
    <row r="140" spans="1:17">
      <c r="A140" s="58" t="s">
        <v>69</v>
      </c>
      <c r="B140" s="59"/>
      <c r="C140" s="59"/>
      <c r="D140" s="59"/>
      <c r="E140" s="59"/>
      <c r="F140" s="59"/>
      <c r="G140" s="59"/>
      <c r="H140" s="59"/>
      <c r="I140" s="59"/>
      <c r="J140" s="59"/>
      <c r="K140" s="59"/>
      <c r="L140" s="59"/>
      <c r="M140" s="59"/>
      <c r="N140" s="59"/>
      <c r="O140" s="59"/>
      <c r="P140" s="97"/>
      <c r="Q140" s="91">
        <f>SUM(Q132:Q138)</f>
        <v>36500</v>
      </c>
    </row>
    <row r="142" spans="1:17">
      <c r="A142" s="17" t="s">
        <v>70</v>
      </c>
      <c r="B142" s="17" t="s">
        <v>47</v>
      </c>
      <c r="C142" s="100" t="s">
        <v>111</v>
      </c>
      <c r="D142" s="101"/>
      <c r="E142" s="17" t="s">
        <v>49</v>
      </c>
      <c r="F142" s="60">
        <v>0.1</v>
      </c>
      <c r="G142" s="1"/>
    </row>
    <row r="143" spans="1:17">
      <c r="A143" s="2"/>
      <c r="B143" s="2"/>
      <c r="C143" s="1"/>
      <c r="D143" s="1"/>
      <c r="E143" s="2"/>
      <c r="F143" s="56"/>
      <c r="G143" s="1"/>
    </row>
    <row r="144" spans="1:17">
      <c r="A144" s="17" t="s">
        <v>72</v>
      </c>
      <c r="B144" s="17" t="s">
        <v>51</v>
      </c>
      <c r="C144" s="17" t="s">
        <v>52</v>
      </c>
      <c r="D144" s="17" t="s">
        <v>53</v>
      </c>
      <c r="E144" s="17" t="s">
        <v>54</v>
      </c>
      <c r="F144" s="17" t="s">
        <v>55</v>
      </c>
      <c r="G144" s="17" t="s">
        <v>56</v>
      </c>
      <c r="H144" s="17" t="s">
        <v>57</v>
      </c>
      <c r="I144" s="17" t="s">
        <v>58</v>
      </c>
      <c r="J144" s="17" t="s">
        <v>59</v>
      </c>
      <c r="K144" s="17" t="s">
        <v>60</v>
      </c>
      <c r="L144" s="17" t="s">
        <v>61</v>
      </c>
      <c r="M144" s="17" t="s">
        <v>62</v>
      </c>
      <c r="N144" s="17" t="s">
        <v>63</v>
      </c>
      <c r="O144" s="17" t="s">
        <v>64</v>
      </c>
      <c r="P144" s="17" t="s">
        <v>65</v>
      </c>
      <c r="Q144" s="17" t="s">
        <v>66</v>
      </c>
    </row>
    <row r="145" spans="1:17">
      <c r="A145" s="45" t="s">
        <v>86</v>
      </c>
      <c r="B145" s="45">
        <v>64</v>
      </c>
      <c r="C145" s="45">
        <v>100</v>
      </c>
      <c r="D145" s="45" t="s">
        <v>67</v>
      </c>
      <c r="E145" s="95">
        <v>4000</v>
      </c>
      <c r="F145" s="45">
        <v>500</v>
      </c>
      <c r="G145" s="60">
        <v>1</v>
      </c>
      <c r="H145" s="92">
        <f>IFERROR((E145/B145)*((F145*G145)/C145),"")</f>
        <v>312.5</v>
      </c>
      <c r="I145" s="86">
        <f>IFERROR(VLOOKUP(A145,$A$8:$B$13,2,0),"")</f>
        <v>0.2</v>
      </c>
      <c r="J145" s="92">
        <f>IFERROR(E145*(1-I145),"")</f>
        <v>3200</v>
      </c>
      <c r="K145" s="92">
        <f>IFERROR(H145*(1-I145),"")</f>
        <v>250</v>
      </c>
      <c r="L145" s="45">
        <v>1</v>
      </c>
      <c r="M145" s="45">
        <v>1</v>
      </c>
      <c r="N145" s="45">
        <v>365</v>
      </c>
      <c r="O145" s="61">
        <f>M145*N145</f>
        <v>365</v>
      </c>
      <c r="P145" s="92">
        <f>IFERROR(O145*H145,"")</f>
        <v>114062.5</v>
      </c>
      <c r="Q145" s="92">
        <f>IFERROR(O145*K145,"")</f>
        <v>91250</v>
      </c>
    </row>
    <row r="146" spans="1:17">
      <c r="A146" s="45"/>
      <c r="B146" s="45"/>
      <c r="C146" s="45"/>
      <c r="D146" s="45"/>
      <c r="E146" s="95"/>
      <c r="F146" s="45"/>
      <c r="G146" s="60"/>
      <c r="H146" s="92" t="str">
        <f t="shared" ref="H146:H151" si="49">IFERROR((E146/B146)*((F146*G146)/C146),"")</f>
        <v/>
      </c>
      <c r="I146" s="86" t="str">
        <f t="shared" ref="I146:I151" si="50">IFERROR(VLOOKUP(A146,$A$8:$B$13,2,0),"")</f>
        <v/>
      </c>
      <c r="J146" s="92" t="str">
        <f t="shared" ref="J146:J151" si="51">IFERROR(E146*(1-I146),"")</f>
        <v/>
      </c>
      <c r="K146" s="92" t="str">
        <f t="shared" ref="K146:K151" si="52">IFERROR(H146*(1-I146),"")</f>
        <v/>
      </c>
      <c r="L146" s="45"/>
      <c r="M146" s="45"/>
      <c r="N146" s="45"/>
      <c r="O146" s="61">
        <f t="shared" ref="O146:O151" si="53">M146*N146</f>
        <v>0</v>
      </c>
      <c r="P146" s="92" t="str">
        <f t="shared" ref="P146:P151" si="54">IFERROR(O146*H146,"")</f>
        <v/>
      </c>
      <c r="Q146" s="92" t="str">
        <f t="shared" ref="Q146:Q151" si="55">IFERROR(O146*K146,"")</f>
        <v/>
      </c>
    </row>
    <row r="147" spans="1:17">
      <c r="A147" s="45"/>
      <c r="B147" s="45"/>
      <c r="C147" s="45"/>
      <c r="D147" s="45"/>
      <c r="E147" s="95"/>
      <c r="F147" s="45"/>
      <c r="G147" s="60"/>
      <c r="H147" s="92" t="str">
        <f t="shared" si="49"/>
        <v/>
      </c>
      <c r="I147" s="86" t="str">
        <f t="shared" si="50"/>
        <v/>
      </c>
      <c r="J147" s="92" t="str">
        <f t="shared" si="51"/>
        <v/>
      </c>
      <c r="K147" s="92" t="str">
        <f t="shared" si="52"/>
        <v/>
      </c>
      <c r="L147" s="45"/>
      <c r="M147" s="45"/>
      <c r="N147" s="45"/>
      <c r="O147" s="61">
        <f t="shared" si="53"/>
        <v>0</v>
      </c>
      <c r="P147" s="92" t="str">
        <f t="shared" si="54"/>
        <v/>
      </c>
      <c r="Q147" s="92" t="str">
        <f t="shared" si="55"/>
        <v/>
      </c>
    </row>
    <row r="148" spans="1:17">
      <c r="A148" s="45"/>
      <c r="B148" s="45"/>
      <c r="C148" s="45"/>
      <c r="D148" s="45"/>
      <c r="E148" s="95"/>
      <c r="F148" s="45"/>
      <c r="G148" s="60"/>
      <c r="H148" s="92" t="str">
        <f t="shared" si="49"/>
        <v/>
      </c>
      <c r="I148" s="86" t="str">
        <f t="shared" si="50"/>
        <v/>
      </c>
      <c r="J148" s="92" t="str">
        <f t="shared" si="51"/>
        <v/>
      </c>
      <c r="K148" s="92" t="str">
        <f t="shared" si="52"/>
        <v/>
      </c>
      <c r="L148" s="45"/>
      <c r="M148" s="45"/>
      <c r="N148" s="45"/>
      <c r="O148" s="61">
        <f t="shared" si="53"/>
        <v>0</v>
      </c>
      <c r="P148" s="92" t="str">
        <f t="shared" si="54"/>
        <v/>
      </c>
      <c r="Q148" s="92" t="str">
        <f t="shared" si="55"/>
        <v/>
      </c>
    </row>
    <row r="149" spans="1:17">
      <c r="A149" s="45"/>
      <c r="B149" s="45"/>
      <c r="C149" s="45"/>
      <c r="D149" s="45"/>
      <c r="E149" s="95"/>
      <c r="F149" s="45"/>
      <c r="G149" s="60"/>
      <c r="H149" s="92" t="str">
        <f t="shared" si="49"/>
        <v/>
      </c>
      <c r="I149" s="86" t="str">
        <f t="shared" si="50"/>
        <v/>
      </c>
      <c r="J149" s="92" t="str">
        <f t="shared" si="51"/>
        <v/>
      </c>
      <c r="K149" s="92" t="str">
        <f t="shared" si="52"/>
        <v/>
      </c>
      <c r="L149" s="45"/>
      <c r="M149" s="45"/>
      <c r="N149" s="45"/>
      <c r="O149" s="61">
        <f t="shared" si="53"/>
        <v>0</v>
      </c>
      <c r="P149" s="92" t="str">
        <f t="shared" si="54"/>
        <v/>
      </c>
      <c r="Q149" s="92" t="str">
        <f t="shared" si="55"/>
        <v/>
      </c>
    </row>
    <row r="150" spans="1:17">
      <c r="A150" s="45"/>
      <c r="B150" s="45"/>
      <c r="C150" s="45"/>
      <c r="D150" s="45"/>
      <c r="E150" s="95"/>
      <c r="F150" s="45"/>
      <c r="G150" s="60"/>
      <c r="H150" s="92" t="str">
        <f t="shared" si="49"/>
        <v/>
      </c>
      <c r="I150" s="86" t="str">
        <f t="shared" si="50"/>
        <v/>
      </c>
      <c r="J150" s="92" t="str">
        <f t="shared" si="51"/>
        <v/>
      </c>
      <c r="K150" s="92" t="str">
        <f t="shared" si="52"/>
        <v/>
      </c>
      <c r="L150" s="45"/>
      <c r="M150" s="45"/>
      <c r="N150" s="45"/>
      <c r="O150" s="61">
        <f t="shared" si="53"/>
        <v>0</v>
      </c>
      <c r="P150" s="92" t="str">
        <f t="shared" si="54"/>
        <v/>
      </c>
      <c r="Q150" s="92" t="str">
        <f t="shared" si="55"/>
        <v/>
      </c>
    </row>
    <row r="151" spans="1:17">
      <c r="A151" s="45"/>
      <c r="B151" s="45"/>
      <c r="C151" s="45"/>
      <c r="D151" s="45"/>
      <c r="E151" s="95"/>
      <c r="F151" s="45"/>
      <c r="G151" s="60"/>
      <c r="H151" s="92" t="str">
        <f t="shared" si="49"/>
        <v/>
      </c>
      <c r="I151" s="86" t="str">
        <f t="shared" si="50"/>
        <v/>
      </c>
      <c r="J151" s="92" t="str">
        <f t="shared" si="51"/>
        <v/>
      </c>
      <c r="K151" s="92" t="str">
        <f t="shared" si="52"/>
        <v/>
      </c>
      <c r="L151" s="45"/>
      <c r="M151" s="45"/>
      <c r="N151" s="45"/>
      <c r="O151" s="61">
        <f t="shared" si="53"/>
        <v>0</v>
      </c>
      <c r="P151" s="92" t="str">
        <f t="shared" si="54"/>
        <v/>
      </c>
      <c r="Q151" s="92" t="str">
        <f t="shared" si="55"/>
        <v/>
      </c>
    </row>
    <row r="152" spans="1:17">
      <c r="A152" s="57" t="s">
        <v>68</v>
      </c>
      <c r="B152" s="49"/>
      <c r="C152" s="49"/>
      <c r="D152" s="49"/>
      <c r="E152" s="49"/>
      <c r="F152" s="49"/>
      <c r="G152" s="49"/>
      <c r="H152" s="49"/>
      <c r="I152" s="49"/>
      <c r="J152" s="49"/>
      <c r="K152" s="49"/>
      <c r="L152" s="49"/>
      <c r="M152" s="49"/>
      <c r="N152" s="49"/>
      <c r="O152" s="49"/>
      <c r="P152" s="91">
        <f>SUM(P145:P151)</f>
        <v>114062.5</v>
      </c>
      <c r="Q152" s="96"/>
    </row>
    <row r="153" spans="1:17">
      <c r="A153" s="58" t="s">
        <v>69</v>
      </c>
      <c r="B153" s="59"/>
      <c r="C153" s="59"/>
      <c r="D153" s="59"/>
      <c r="E153" s="59"/>
      <c r="F153" s="59"/>
      <c r="G153" s="59"/>
      <c r="H153" s="59"/>
      <c r="I153" s="59"/>
      <c r="J153" s="59"/>
      <c r="K153" s="59"/>
      <c r="L153" s="59"/>
      <c r="M153" s="59"/>
      <c r="N153" s="59"/>
      <c r="O153" s="59"/>
      <c r="P153" s="97"/>
      <c r="Q153" s="91">
        <f>SUM(Q145:Q151)</f>
        <v>91250</v>
      </c>
    </row>
    <row r="155" spans="1:17">
      <c r="A155" s="17" t="s">
        <v>73</v>
      </c>
      <c r="B155" s="17" t="s">
        <v>47</v>
      </c>
      <c r="C155" s="100" t="s">
        <v>112</v>
      </c>
      <c r="D155" s="101"/>
      <c r="E155" s="17" t="s">
        <v>49</v>
      </c>
      <c r="F155" s="60">
        <v>0.1</v>
      </c>
      <c r="G155" s="1"/>
    </row>
    <row r="156" spans="1:17">
      <c r="A156" s="2"/>
      <c r="B156" s="2"/>
      <c r="C156" s="1"/>
      <c r="D156" s="1"/>
      <c r="E156" s="2"/>
      <c r="F156" s="56"/>
      <c r="G156" s="1"/>
    </row>
    <row r="157" spans="1:17">
      <c r="A157" s="17" t="s">
        <v>72</v>
      </c>
      <c r="B157" s="17" t="s">
        <v>51</v>
      </c>
      <c r="C157" s="17" t="s">
        <v>52</v>
      </c>
      <c r="D157" s="17" t="s">
        <v>53</v>
      </c>
      <c r="E157" s="17" t="s">
        <v>54</v>
      </c>
      <c r="F157" s="17" t="s">
        <v>55</v>
      </c>
      <c r="G157" s="17" t="s">
        <v>56</v>
      </c>
      <c r="H157" s="17" t="s">
        <v>57</v>
      </c>
      <c r="I157" s="17" t="s">
        <v>58</v>
      </c>
      <c r="J157" s="17" t="s">
        <v>59</v>
      </c>
      <c r="K157" s="17" t="s">
        <v>60</v>
      </c>
      <c r="L157" s="17" t="s">
        <v>61</v>
      </c>
      <c r="M157" s="17" t="s">
        <v>62</v>
      </c>
      <c r="N157" s="17" t="s">
        <v>63</v>
      </c>
      <c r="O157" s="17" t="s">
        <v>64</v>
      </c>
      <c r="P157" s="17" t="s">
        <v>65</v>
      </c>
      <c r="Q157" s="17" t="s">
        <v>66</v>
      </c>
    </row>
    <row r="158" spans="1:17">
      <c r="A158" s="45" t="s">
        <v>86</v>
      </c>
      <c r="B158" s="45">
        <v>64</v>
      </c>
      <c r="C158" s="45">
        <v>100</v>
      </c>
      <c r="D158" s="45" t="s">
        <v>67</v>
      </c>
      <c r="E158" s="45">
        <v>4000</v>
      </c>
      <c r="F158" s="45">
        <v>10000</v>
      </c>
      <c r="G158" s="60">
        <v>1</v>
      </c>
      <c r="H158" s="92">
        <f>IFERROR((E158/B158)*((F158*G158)/C158),"")</f>
        <v>6250</v>
      </c>
      <c r="I158" s="86">
        <f>IFERROR(VLOOKUP(A158,$A$8:$B$13,2,0),"")</f>
        <v>0.2</v>
      </c>
      <c r="J158" s="92">
        <f>IFERROR(E158*(1-I158),"")</f>
        <v>3200</v>
      </c>
      <c r="K158" s="92">
        <f>IFERROR(H158*(1-I158),"")</f>
        <v>5000</v>
      </c>
      <c r="L158" s="45">
        <v>1</v>
      </c>
      <c r="M158" s="45">
        <v>2</v>
      </c>
      <c r="N158" s="45">
        <v>365</v>
      </c>
      <c r="O158" s="61">
        <f>M158*N158</f>
        <v>730</v>
      </c>
      <c r="P158" s="92">
        <f>IFERROR(O158*H158,"")</f>
        <v>4562500</v>
      </c>
      <c r="Q158" s="92">
        <f>IFERROR(O158*K158,"")</f>
        <v>3650000</v>
      </c>
    </row>
    <row r="159" spans="1:17">
      <c r="A159" s="45"/>
      <c r="B159" s="45"/>
      <c r="C159" s="45"/>
      <c r="D159" s="45"/>
      <c r="E159" s="45"/>
      <c r="F159" s="45"/>
      <c r="G159" s="60">
        <v>1</v>
      </c>
      <c r="H159" s="92" t="str">
        <f t="shared" ref="H159:H164" si="56">IFERROR((E159/B159)*((F159*G159)/C159),"")</f>
        <v/>
      </c>
      <c r="I159" s="86" t="str">
        <f t="shared" ref="I159:I164" si="57">IFERROR(VLOOKUP(A159,$A$8:$B$13,2,0),"")</f>
        <v/>
      </c>
      <c r="J159" s="92" t="str">
        <f t="shared" ref="J159:J164" si="58">IFERROR(E159*(1-I159),"")</f>
        <v/>
      </c>
      <c r="K159" s="92" t="str">
        <f t="shared" ref="K159:K164" si="59">IFERROR(H159*(1-I159),"")</f>
        <v/>
      </c>
      <c r="L159" s="45"/>
      <c r="M159" s="45"/>
      <c r="N159" s="45"/>
      <c r="O159" s="61">
        <f t="shared" ref="O159:O164" si="60">M159*N159</f>
        <v>0</v>
      </c>
      <c r="P159" s="92" t="str">
        <f t="shared" ref="P159:P164" si="61">IFERROR(O159*H159,"")</f>
        <v/>
      </c>
      <c r="Q159" s="92" t="str">
        <f t="shared" ref="Q159:Q164" si="62">IFERROR(O159*K159,"")</f>
        <v/>
      </c>
    </row>
    <row r="160" spans="1:17">
      <c r="A160" s="45"/>
      <c r="B160" s="45"/>
      <c r="C160" s="45"/>
      <c r="D160" s="45"/>
      <c r="E160" s="45"/>
      <c r="F160" s="45"/>
      <c r="G160" s="60">
        <v>1</v>
      </c>
      <c r="H160" s="92" t="str">
        <f t="shared" si="56"/>
        <v/>
      </c>
      <c r="I160" s="86" t="str">
        <f t="shared" si="57"/>
        <v/>
      </c>
      <c r="J160" s="92" t="str">
        <f t="shared" si="58"/>
        <v/>
      </c>
      <c r="K160" s="92" t="str">
        <f t="shared" si="59"/>
        <v/>
      </c>
      <c r="L160" s="45"/>
      <c r="M160" s="45"/>
      <c r="N160" s="45"/>
      <c r="O160" s="61">
        <f t="shared" si="60"/>
        <v>0</v>
      </c>
      <c r="P160" s="92" t="str">
        <f t="shared" si="61"/>
        <v/>
      </c>
      <c r="Q160" s="92" t="str">
        <f t="shared" si="62"/>
        <v/>
      </c>
    </row>
    <row r="161" spans="1:17">
      <c r="A161" s="45"/>
      <c r="B161" s="45"/>
      <c r="C161" s="45"/>
      <c r="D161" s="45"/>
      <c r="E161" s="45"/>
      <c r="F161" s="45"/>
      <c r="G161" s="60">
        <v>1</v>
      </c>
      <c r="H161" s="92" t="str">
        <f t="shared" si="56"/>
        <v/>
      </c>
      <c r="I161" s="86" t="str">
        <f t="shared" si="57"/>
        <v/>
      </c>
      <c r="J161" s="92" t="str">
        <f t="shared" si="58"/>
        <v/>
      </c>
      <c r="K161" s="92" t="str">
        <f t="shared" si="59"/>
        <v/>
      </c>
      <c r="L161" s="45"/>
      <c r="M161" s="45"/>
      <c r="N161" s="45"/>
      <c r="O161" s="61">
        <f t="shared" si="60"/>
        <v>0</v>
      </c>
      <c r="P161" s="92" t="str">
        <f t="shared" si="61"/>
        <v/>
      </c>
      <c r="Q161" s="92" t="str">
        <f t="shared" si="62"/>
        <v/>
      </c>
    </row>
    <row r="162" spans="1:17">
      <c r="A162" s="45"/>
      <c r="B162" s="45"/>
      <c r="C162" s="45"/>
      <c r="D162" s="45"/>
      <c r="E162" s="45"/>
      <c r="F162" s="45"/>
      <c r="G162" s="60">
        <v>1</v>
      </c>
      <c r="H162" s="92" t="str">
        <f t="shared" si="56"/>
        <v/>
      </c>
      <c r="I162" s="86" t="str">
        <f t="shared" si="57"/>
        <v/>
      </c>
      <c r="J162" s="92" t="str">
        <f t="shared" si="58"/>
        <v/>
      </c>
      <c r="K162" s="92" t="str">
        <f t="shared" si="59"/>
        <v/>
      </c>
      <c r="L162" s="45"/>
      <c r="M162" s="45"/>
      <c r="N162" s="45"/>
      <c r="O162" s="61">
        <f t="shared" si="60"/>
        <v>0</v>
      </c>
      <c r="P162" s="92" t="str">
        <f t="shared" si="61"/>
        <v/>
      </c>
      <c r="Q162" s="92" t="str">
        <f t="shared" si="62"/>
        <v/>
      </c>
    </row>
    <row r="163" spans="1:17">
      <c r="A163" s="45"/>
      <c r="B163" s="45"/>
      <c r="C163" s="45"/>
      <c r="D163" s="45"/>
      <c r="E163" s="45"/>
      <c r="F163" s="45"/>
      <c r="G163" s="60">
        <v>1</v>
      </c>
      <c r="H163" s="92" t="str">
        <f t="shared" si="56"/>
        <v/>
      </c>
      <c r="I163" s="86" t="str">
        <f t="shared" si="57"/>
        <v/>
      </c>
      <c r="J163" s="92" t="str">
        <f t="shared" si="58"/>
        <v/>
      </c>
      <c r="K163" s="92" t="str">
        <f t="shared" si="59"/>
        <v/>
      </c>
      <c r="L163" s="45"/>
      <c r="M163" s="45"/>
      <c r="N163" s="45"/>
      <c r="O163" s="61">
        <f t="shared" si="60"/>
        <v>0</v>
      </c>
      <c r="P163" s="92" t="str">
        <f t="shared" si="61"/>
        <v/>
      </c>
      <c r="Q163" s="92" t="str">
        <f t="shared" si="62"/>
        <v/>
      </c>
    </row>
    <row r="164" spans="1:17">
      <c r="A164" s="45"/>
      <c r="B164" s="45"/>
      <c r="C164" s="45"/>
      <c r="D164" s="45"/>
      <c r="E164" s="45"/>
      <c r="F164" s="45"/>
      <c r="G164" s="60">
        <v>1</v>
      </c>
      <c r="H164" s="92" t="str">
        <f t="shared" si="56"/>
        <v/>
      </c>
      <c r="I164" s="86" t="str">
        <f t="shared" si="57"/>
        <v/>
      </c>
      <c r="J164" s="92" t="str">
        <f t="shared" si="58"/>
        <v/>
      </c>
      <c r="K164" s="92" t="str">
        <f t="shared" si="59"/>
        <v/>
      </c>
      <c r="L164" s="45"/>
      <c r="M164" s="45"/>
      <c r="N164" s="45"/>
      <c r="O164" s="61">
        <f t="shared" si="60"/>
        <v>0</v>
      </c>
      <c r="P164" s="92" t="str">
        <f t="shared" si="61"/>
        <v/>
      </c>
      <c r="Q164" s="92" t="str">
        <f t="shared" si="62"/>
        <v/>
      </c>
    </row>
    <row r="165" spans="1:17">
      <c r="A165" s="57" t="s">
        <v>68</v>
      </c>
      <c r="B165" s="49"/>
      <c r="C165" s="49"/>
      <c r="D165" s="49"/>
      <c r="E165" s="49"/>
      <c r="F165" s="49"/>
      <c r="G165" s="49"/>
      <c r="H165" s="49"/>
      <c r="I165" s="49"/>
      <c r="J165" s="49"/>
      <c r="K165" s="49"/>
      <c r="L165" s="49"/>
      <c r="M165" s="49"/>
      <c r="N165" s="49"/>
      <c r="O165" s="49"/>
      <c r="P165" s="91">
        <f>SUM(P158:P164)</f>
        <v>4562500</v>
      </c>
      <c r="Q165" s="96"/>
    </row>
    <row r="166" spans="1:17">
      <c r="A166" s="58" t="s">
        <v>69</v>
      </c>
      <c r="B166" s="59"/>
      <c r="C166" s="59"/>
      <c r="D166" s="59"/>
      <c r="E166" s="59"/>
      <c r="F166" s="59"/>
      <c r="G166" s="59"/>
      <c r="H166" s="59"/>
      <c r="I166" s="59"/>
      <c r="J166" s="59"/>
      <c r="K166" s="59"/>
      <c r="L166" s="59"/>
      <c r="M166" s="59"/>
      <c r="N166" s="59"/>
      <c r="O166" s="59"/>
      <c r="P166" s="97"/>
      <c r="Q166" s="91">
        <f>SUM(Q158:Q164)</f>
        <v>3650000</v>
      </c>
    </row>
    <row r="167" spans="1:17">
      <c r="A167" s="2"/>
      <c r="P167" s="2"/>
      <c r="Q167" s="2"/>
    </row>
    <row r="168" spans="1:17">
      <c r="A168" s="16" t="s">
        <v>113</v>
      </c>
    </row>
    <row r="169" spans="1:17">
      <c r="A169" s="57" t="s">
        <v>114</v>
      </c>
      <c r="B169" s="49"/>
      <c r="C169" s="49"/>
      <c r="D169" s="49"/>
      <c r="E169" s="49"/>
      <c r="F169" s="49"/>
      <c r="G169" s="49"/>
      <c r="H169" s="49"/>
      <c r="I169" s="49"/>
      <c r="J169" s="49"/>
      <c r="K169" s="49"/>
      <c r="L169" s="49"/>
      <c r="M169" s="49"/>
      <c r="N169" s="49"/>
      <c r="O169" s="49"/>
      <c r="P169" s="92">
        <f>P139*F129+P152*F142+P165*F155</f>
        <v>504156.25</v>
      </c>
      <c r="Q169" s="93"/>
    </row>
    <row r="170" spans="1:17">
      <c r="A170" s="58" t="s">
        <v>115</v>
      </c>
      <c r="B170" s="59"/>
      <c r="C170" s="59"/>
      <c r="D170" s="59"/>
      <c r="E170" s="59"/>
      <c r="F170" s="59"/>
      <c r="G170" s="59"/>
      <c r="H170" s="59"/>
      <c r="I170" s="59"/>
      <c r="J170" s="59"/>
      <c r="K170" s="59"/>
      <c r="L170" s="59"/>
      <c r="M170" s="59"/>
      <c r="N170" s="59"/>
      <c r="O170" s="59"/>
      <c r="P170" s="94"/>
      <c r="Q170" s="92">
        <f>Q140*F129+Q153*F142+Q166*F155</f>
        <v>403325</v>
      </c>
    </row>
    <row r="171" spans="1:17">
      <c r="A171" s="2"/>
    </row>
    <row r="172" spans="1:17" s="9" customFormat="1">
      <c r="A172" s="64"/>
    </row>
    <row r="174" spans="1:17">
      <c r="A174" s="13" t="s">
        <v>116</v>
      </c>
      <c r="C174" s="1"/>
      <c r="D174" s="1"/>
      <c r="E174" s="2"/>
    </row>
    <row r="175" spans="1:17">
      <c r="A175" s="17" t="s">
        <v>91</v>
      </c>
      <c r="B175" s="100" t="s">
        <v>41</v>
      </c>
      <c r="C175" s="103"/>
      <c r="D175" s="103"/>
      <c r="E175" s="101"/>
      <c r="H175" s="65"/>
    </row>
    <row r="176" spans="1:17">
      <c r="A176" s="2"/>
      <c r="B176" s="25"/>
      <c r="C176" s="1"/>
      <c r="D176" s="1"/>
      <c r="E176" s="2"/>
      <c r="H176" s="65"/>
    </row>
    <row r="177" spans="1:17">
      <c r="A177" s="17" t="s">
        <v>93</v>
      </c>
      <c r="B177" s="60">
        <v>0</v>
      </c>
      <c r="C177" s="1"/>
      <c r="D177" s="1"/>
      <c r="E177" s="2"/>
      <c r="H177" s="65"/>
    </row>
    <row r="178" spans="1:17">
      <c r="B178" s="19"/>
    </row>
    <row r="179" spans="1:17">
      <c r="A179" s="17" t="s">
        <v>38</v>
      </c>
      <c r="B179" s="100" t="s">
        <v>41</v>
      </c>
      <c r="C179" s="103"/>
      <c r="D179" s="103"/>
      <c r="E179" s="101"/>
    </row>
    <row r="180" spans="1:17">
      <c r="B180" s="25"/>
    </row>
    <row r="181" spans="1:17">
      <c r="A181" s="17" t="s">
        <v>46</v>
      </c>
      <c r="B181" s="17" t="s">
        <v>47</v>
      </c>
      <c r="C181" s="100" t="s">
        <v>41</v>
      </c>
      <c r="D181" s="101"/>
      <c r="E181" s="17" t="s">
        <v>49</v>
      </c>
      <c r="F181" s="60">
        <v>1</v>
      </c>
      <c r="G181" s="1"/>
    </row>
    <row r="182" spans="1:17">
      <c r="A182" s="2"/>
      <c r="B182" s="2"/>
      <c r="E182" s="2"/>
      <c r="F182" s="68"/>
      <c r="G182" s="1"/>
    </row>
    <row r="183" spans="1:17">
      <c r="A183" s="17" t="s">
        <v>50</v>
      </c>
      <c r="B183" s="17" t="s">
        <v>51</v>
      </c>
      <c r="C183" s="17" t="s">
        <v>52</v>
      </c>
      <c r="D183" s="17" t="s">
        <v>53</v>
      </c>
      <c r="E183" s="17" t="s">
        <v>54</v>
      </c>
      <c r="F183" s="17" t="s">
        <v>55</v>
      </c>
      <c r="G183" s="17" t="s">
        <v>56</v>
      </c>
      <c r="H183" s="17" t="s">
        <v>57</v>
      </c>
      <c r="I183" s="17" t="s">
        <v>58</v>
      </c>
      <c r="J183" s="17" t="s">
        <v>59</v>
      </c>
      <c r="K183" s="17" t="s">
        <v>60</v>
      </c>
      <c r="L183" s="17" t="s">
        <v>61</v>
      </c>
      <c r="M183" s="17" t="s">
        <v>62</v>
      </c>
      <c r="N183" s="17" t="s">
        <v>63</v>
      </c>
      <c r="O183" s="17" t="s">
        <v>64</v>
      </c>
      <c r="P183" s="17" t="s">
        <v>65</v>
      </c>
      <c r="Q183" s="17" t="s">
        <v>66</v>
      </c>
    </row>
    <row r="184" spans="1:17">
      <c r="A184" s="45"/>
      <c r="B184" s="45"/>
      <c r="C184" s="45"/>
      <c r="D184" s="45"/>
      <c r="E184" s="45"/>
      <c r="F184" s="45"/>
      <c r="G184" s="60"/>
      <c r="H184" s="92" t="str">
        <f>IFERROR((E184/B184)*((F184*G184)/C184),"")</f>
        <v/>
      </c>
      <c r="I184" s="86" t="str">
        <f>IFERROR(VLOOKUP(A184,$A$8:$B$13,2,0),"")</f>
        <v/>
      </c>
      <c r="J184" s="92" t="str">
        <f>IFERROR(E184*(1-I184),"")</f>
        <v/>
      </c>
      <c r="K184" s="92" t="str">
        <f>IFERROR(H184*(1-I184),"")</f>
        <v/>
      </c>
      <c r="L184" s="45"/>
      <c r="M184" s="45"/>
      <c r="N184" s="45"/>
      <c r="O184" s="61">
        <f>M184*N184</f>
        <v>0</v>
      </c>
      <c r="P184" s="92" t="str">
        <f>IFERROR(O184*H184,"")</f>
        <v/>
      </c>
      <c r="Q184" s="92" t="str">
        <f>IFERROR(O184*K184,"")</f>
        <v/>
      </c>
    </row>
    <row r="185" spans="1:17">
      <c r="A185" s="45"/>
      <c r="B185" s="45"/>
      <c r="C185" s="45"/>
      <c r="D185" s="45"/>
      <c r="E185" s="45"/>
      <c r="F185" s="45"/>
      <c r="G185" s="60"/>
      <c r="H185" s="92" t="str">
        <f t="shared" ref="H185:H190" si="63">IFERROR((E185/B185)*((F185*G185)/C185),"")</f>
        <v/>
      </c>
      <c r="I185" s="86" t="str">
        <f t="shared" ref="I185:I190" si="64">IFERROR(VLOOKUP(A185,$A$8:$B$13,2,0),"")</f>
        <v/>
      </c>
      <c r="J185" s="92" t="str">
        <f t="shared" ref="J185:J190" si="65">IFERROR(E185*(1-I185),"")</f>
        <v/>
      </c>
      <c r="K185" s="92" t="str">
        <f t="shared" ref="K185:K190" si="66">IFERROR(H185*(1-I185),"")</f>
        <v/>
      </c>
      <c r="L185" s="45"/>
      <c r="M185" s="45"/>
      <c r="N185" s="45"/>
      <c r="O185" s="61">
        <f t="shared" ref="O185:O190" si="67">M185*N185</f>
        <v>0</v>
      </c>
      <c r="P185" s="92" t="str">
        <f t="shared" ref="P185:P190" si="68">IFERROR(O185*H185,"")</f>
        <v/>
      </c>
      <c r="Q185" s="92" t="str">
        <f t="shared" ref="Q185:Q190" si="69">IFERROR(O185*K185,"")</f>
        <v/>
      </c>
    </row>
    <row r="186" spans="1:17">
      <c r="A186" s="45"/>
      <c r="B186" s="45"/>
      <c r="C186" s="45"/>
      <c r="D186" s="45"/>
      <c r="E186" s="45"/>
      <c r="F186" s="45"/>
      <c r="G186" s="60"/>
      <c r="H186" s="92" t="str">
        <f t="shared" si="63"/>
        <v/>
      </c>
      <c r="I186" s="86" t="str">
        <f t="shared" si="64"/>
        <v/>
      </c>
      <c r="J186" s="92" t="str">
        <f t="shared" si="65"/>
        <v/>
      </c>
      <c r="K186" s="92" t="str">
        <f t="shared" si="66"/>
        <v/>
      </c>
      <c r="L186" s="45"/>
      <c r="M186" s="45"/>
      <c r="N186" s="45"/>
      <c r="O186" s="61">
        <f t="shared" si="67"/>
        <v>0</v>
      </c>
      <c r="P186" s="92" t="str">
        <f t="shared" si="68"/>
        <v/>
      </c>
      <c r="Q186" s="92" t="str">
        <f t="shared" si="69"/>
        <v/>
      </c>
    </row>
    <row r="187" spans="1:17">
      <c r="A187" s="45"/>
      <c r="B187" s="45"/>
      <c r="C187" s="45"/>
      <c r="D187" s="45"/>
      <c r="E187" s="45"/>
      <c r="F187" s="45"/>
      <c r="G187" s="60"/>
      <c r="H187" s="92" t="str">
        <f t="shared" si="63"/>
        <v/>
      </c>
      <c r="I187" s="86" t="str">
        <f t="shared" si="64"/>
        <v/>
      </c>
      <c r="J187" s="92" t="str">
        <f t="shared" si="65"/>
        <v/>
      </c>
      <c r="K187" s="92" t="str">
        <f t="shared" si="66"/>
        <v/>
      </c>
      <c r="L187" s="45"/>
      <c r="M187" s="45"/>
      <c r="N187" s="45"/>
      <c r="O187" s="61">
        <f t="shared" si="67"/>
        <v>0</v>
      </c>
      <c r="P187" s="92" t="str">
        <f t="shared" si="68"/>
        <v/>
      </c>
      <c r="Q187" s="92" t="str">
        <f t="shared" si="69"/>
        <v/>
      </c>
    </row>
    <row r="188" spans="1:17">
      <c r="A188" s="45"/>
      <c r="B188" s="45"/>
      <c r="C188" s="45"/>
      <c r="D188" s="45"/>
      <c r="E188" s="45"/>
      <c r="F188" s="45"/>
      <c r="G188" s="60"/>
      <c r="H188" s="92" t="str">
        <f t="shared" si="63"/>
        <v/>
      </c>
      <c r="I188" s="86" t="str">
        <f t="shared" si="64"/>
        <v/>
      </c>
      <c r="J188" s="92" t="str">
        <f t="shared" si="65"/>
        <v/>
      </c>
      <c r="K188" s="92" t="str">
        <f t="shared" si="66"/>
        <v/>
      </c>
      <c r="L188" s="45"/>
      <c r="M188" s="45"/>
      <c r="N188" s="45"/>
      <c r="O188" s="61">
        <f t="shared" si="67"/>
        <v>0</v>
      </c>
      <c r="P188" s="92" t="str">
        <f t="shared" si="68"/>
        <v/>
      </c>
      <c r="Q188" s="92" t="str">
        <f t="shared" si="69"/>
        <v/>
      </c>
    </row>
    <row r="189" spans="1:17">
      <c r="A189" s="45"/>
      <c r="B189" s="45"/>
      <c r="C189" s="45"/>
      <c r="D189" s="45"/>
      <c r="E189" s="45"/>
      <c r="F189" s="45"/>
      <c r="G189" s="60"/>
      <c r="H189" s="92" t="str">
        <f t="shared" si="63"/>
        <v/>
      </c>
      <c r="I189" s="86" t="str">
        <f t="shared" si="64"/>
        <v/>
      </c>
      <c r="J189" s="92" t="str">
        <f t="shared" si="65"/>
        <v/>
      </c>
      <c r="K189" s="92" t="str">
        <f t="shared" si="66"/>
        <v/>
      </c>
      <c r="L189" s="45"/>
      <c r="M189" s="45"/>
      <c r="N189" s="45"/>
      <c r="O189" s="61">
        <f t="shared" si="67"/>
        <v>0</v>
      </c>
      <c r="P189" s="92" t="str">
        <f t="shared" si="68"/>
        <v/>
      </c>
      <c r="Q189" s="92" t="str">
        <f t="shared" si="69"/>
        <v/>
      </c>
    </row>
    <row r="190" spans="1:17">
      <c r="A190" s="45"/>
      <c r="B190" s="45"/>
      <c r="C190" s="45"/>
      <c r="D190" s="45"/>
      <c r="E190" s="45"/>
      <c r="F190" s="45"/>
      <c r="G190" s="60"/>
      <c r="H190" s="92" t="str">
        <f t="shared" si="63"/>
        <v/>
      </c>
      <c r="I190" s="86" t="str">
        <f t="shared" si="64"/>
        <v/>
      </c>
      <c r="J190" s="92" t="str">
        <f t="shared" si="65"/>
        <v/>
      </c>
      <c r="K190" s="92" t="str">
        <f t="shared" si="66"/>
        <v/>
      </c>
      <c r="L190" s="45"/>
      <c r="M190" s="45"/>
      <c r="N190" s="45"/>
      <c r="O190" s="61">
        <f t="shared" si="67"/>
        <v>0</v>
      </c>
      <c r="P190" s="92" t="str">
        <f t="shared" si="68"/>
        <v/>
      </c>
      <c r="Q190" s="92" t="str">
        <f t="shared" si="69"/>
        <v/>
      </c>
    </row>
    <row r="191" spans="1:17">
      <c r="A191" s="57" t="s">
        <v>68</v>
      </c>
      <c r="B191" s="49"/>
      <c r="C191" s="49"/>
      <c r="D191" s="49"/>
      <c r="E191" s="49"/>
      <c r="F191" s="49"/>
      <c r="G191" s="49"/>
      <c r="H191" s="49"/>
      <c r="I191" s="49"/>
      <c r="J191" s="49"/>
      <c r="K191" s="49"/>
      <c r="L191" s="49"/>
      <c r="M191" s="49"/>
      <c r="N191" s="49"/>
      <c r="O191" s="49"/>
      <c r="P191" s="91">
        <f>SUM(P184:P190)</f>
        <v>0</v>
      </c>
      <c r="Q191" s="96"/>
    </row>
    <row r="192" spans="1:17">
      <c r="A192" s="58" t="s">
        <v>69</v>
      </c>
      <c r="B192" s="59"/>
      <c r="C192" s="59"/>
      <c r="D192" s="59"/>
      <c r="E192" s="59"/>
      <c r="F192" s="59"/>
      <c r="G192" s="59"/>
      <c r="H192" s="59"/>
      <c r="I192" s="59"/>
      <c r="J192" s="59"/>
      <c r="K192" s="59"/>
      <c r="L192" s="59"/>
      <c r="M192" s="59"/>
      <c r="N192" s="59"/>
      <c r="O192" s="59"/>
      <c r="P192" s="97"/>
      <c r="Q192" s="91">
        <f>SUM(Q184:Q190)</f>
        <v>0</v>
      </c>
    </row>
    <row r="194" spans="1:17">
      <c r="A194" s="17" t="s">
        <v>70</v>
      </c>
      <c r="B194" s="17" t="s">
        <v>47</v>
      </c>
      <c r="C194" s="100" t="s">
        <v>41</v>
      </c>
      <c r="D194" s="101"/>
      <c r="E194" s="17" t="s">
        <v>49</v>
      </c>
      <c r="F194" s="60">
        <v>0</v>
      </c>
      <c r="G194" s="1"/>
    </row>
    <row r="195" spans="1:17">
      <c r="A195" s="2"/>
      <c r="B195" s="2"/>
      <c r="C195" s="1"/>
      <c r="D195" s="1"/>
      <c r="E195" s="2"/>
      <c r="F195" s="56"/>
      <c r="G195" s="1"/>
    </row>
    <row r="196" spans="1:17">
      <c r="A196" s="17" t="s">
        <v>72</v>
      </c>
      <c r="B196" s="17" t="s">
        <v>51</v>
      </c>
      <c r="C196" s="17" t="s">
        <v>52</v>
      </c>
      <c r="D196" s="17" t="s">
        <v>53</v>
      </c>
      <c r="E196" s="17" t="s">
        <v>54</v>
      </c>
      <c r="F196" s="17" t="s">
        <v>55</v>
      </c>
      <c r="G196" s="17" t="s">
        <v>56</v>
      </c>
      <c r="H196" s="17" t="s">
        <v>57</v>
      </c>
      <c r="I196" s="17" t="s">
        <v>58</v>
      </c>
      <c r="J196" s="17" t="s">
        <v>59</v>
      </c>
      <c r="K196" s="17" t="s">
        <v>60</v>
      </c>
      <c r="L196" s="17" t="s">
        <v>61</v>
      </c>
      <c r="M196" s="17" t="s">
        <v>62</v>
      </c>
      <c r="N196" s="17" t="s">
        <v>63</v>
      </c>
      <c r="O196" s="17" t="s">
        <v>64</v>
      </c>
      <c r="P196" s="17" t="s">
        <v>65</v>
      </c>
      <c r="Q196" s="17" t="s">
        <v>66</v>
      </c>
    </row>
    <row r="197" spans="1:17">
      <c r="A197" s="45"/>
      <c r="B197" s="45"/>
      <c r="C197" s="45"/>
      <c r="D197" s="45"/>
      <c r="E197" s="45"/>
      <c r="F197" s="45"/>
      <c r="G197" s="60"/>
      <c r="H197" s="92" t="str">
        <f>IFERROR((E197/B197)*((F197*G197)/C197),"")</f>
        <v/>
      </c>
      <c r="I197" s="86" t="str">
        <f>IFERROR(VLOOKUP(A197,$A$8:$B$13,2,0),"")</f>
        <v/>
      </c>
      <c r="J197" s="92" t="str">
        <f>IFERROR(E197*(1-I197),"")</f>
        <v/>
      </c>
      <c r="K197" s="92" t="str">
        <f>IFERROR(H197*(1-I197),"")</f>
        <v/>
      </c>
      <c r="L197" s="45"/>
      <c r="M197" s="45"/>
      <c r="N197" s="45"/>
      <c r="O197" s="61">
        <f>M197*N197</f>
        <v>0</v>
      </c>
      <c r="P197" s="92" t="str">
        <f>IFERROR(O197*H197,"")</f>
        <v/>
      </c>
      <c r="Q197" s="92" t="str">
        <f>IFERROR(O197*K197,"")</f>
        <v/>
      </c>
    </row>
    <row r="198" spans="1:17">
      <c r="A198" s="45"/>
      <c r="B198" s="45"/>
      <c r="C198" s="45"/>
      <c r="D198" s="45"/>
      <c r="E198" s="45"/>
      <c r="F198" s="45"/>
      <c r="G198" s="60"/>
      <c r="H198" s="92" t="str">
        <f t="shared" ref="H198:H203" si="70">IFERROR((E198/B198)*((F198*G198)/C198),"")</f>
        <v/>
      </c>
      <c r="I198" s="86" t="str">
        <f t="shared" ref="I198:I203" si="71">IFERROR(VLOOKUP(A198,$A$8:$B$13,2,0),"")</f>
        <v/>
      </c>
      <c r="J198" s="92" t="str">
        <f t="shared" ref="J198:J203" si="72">IFERROR(E198*(1-I198),"")</f>
        <v/>
      </c>
      <c r="K198" s="92" t="str">
        <f t="shared" ref="K198:K203" si="73">IFERROR(H198*(1-I198),"")</f>
        <v/>
      </c>
      <c r="L198" s="45"/>
      <c r="M198" s="45"/>
      <c r="N198" s="45"/>
      <c r="O198" s="61">
        <f t="shared" ref="O198:O203" si="74">M198*N198</f>
        <v>0</v>
      </c>
      <c r="P198" s="92" t="str">
        <f t="shared" ref="P198:P203" si="75">IFERROR(O198*H198,"")</f>
        <v/>
      </c>
      <c r="Q198" s="92" t="str">
        <f t="shared" ref="Q198:Q203" si="76">IFERROR(O198*K198,"")</f>
        <v/>
      </c>
    </row>
    <row r="199" spans="1:17">
      <c r="A199" s="45"/>
      <c r="B199" s="45"/>
      <c r="C199" s="45"/>
      <c r="D199" s="45"/>
      <c r="E199" s="45"/>
      <c r="F199" s="45"/>
      <c r="G199" s="60"/>
      <c r="H199" s="92" t="str">
        <f t="shared" si="70"/>
        <v/>
      </c>
      <c r="I199" s="86" t="str">
        <f t="shared" si="71"/>
        <v/>
      </c>
      <c r="J199" s="92" t="str">
        <f t="shared" si="72"/>
        <v/>
      </c>
      <c r="K199" s="92" t="str">
        <f t="shared" si="73"/>
        <v/>
      </c>
      <c r="L199" s="45"/>
      <c r="M199" s="45"/>
      <c r="N199" s="45"/>
      <c r="O199" s="61">
        <f t="shared" si="74"/>
        <v>0</v>
      </c>
      <c r="P199" s="92" t="str">
        <f t="shared" si="75"/>
        <v/>
      </c>
      <c r="Q199" s="92" t="str">
        <f t="shared" si="76"/>
        <v/>
      </c>
    </row>
    <row r="200" spans="1:17">
      <c r="A200" s="45"/>
      <c r="B200" s="45"/>
      <c r="C200" s="45"/>
      <c r="D200" s="45"/>
      <c r="E200" s="45"/>
      <c r="F200" s="45"/>
      <c r="G200" s="60"/>
      <c r="H200" s="92" t="str">
        <f t="shared" si="70"/>
        <v/>
      </c>
      <c r="I200" s="86" t="str">
        <f t="shared" si="71"/>
        <v/>
      </c>
      <c r="J200" s="92" t="str">
        <f t="shared" si="72"/>
        <v/>
      </c>
      <c r="K200" s="92" t="str">
        <f t="shared" si="73"/>
        <v/>
      </c>
      <c r="L200" s="45"/>
      <c r="M200" s="45"/>
      <c r="N200" s="45"/>
      <c r="O200" s="61">
        <f t="shared" si="74"/>
        <v>0</v>
      </c>
      <c r="P200" s="92" t="str">
        <f t="shared" si="75"/>
        <v/>
      </c>
      <c r="Q200" s="92" t="str">
        <f t="shared" si="76"/>
        <v/>
      </c>
    </row>
    <row r="201" spans="1:17">
      <c r="A201" s="45"/>
      <c r="B201" s="45"/>
      <c r="C201" s="45"/>
      <c r="D201" s="45"/>
      <c r="E201" s="45"/>
      <c r="F201" s="45"/>
      <c r="G201" s="60"/>
      <c r="H201" s="92" t="str">
        <f t="shared" si="70"/>
        <v/>
      </c>
      <c r="I201" s="86" t="str">
        <f t="shared" si="71"/>
        <v/>
      </c>
      <c r="J201" s="92" t="str">
        <f t="shared" si="72"/>
        <v/>
      </c>
      <c r="K201" s="92" t="str">
        <f t="shared" si="73"/>
        <v/>
      </c>
      <c r="L201" s="45"/>
      <c r="M201" s="45"/>
      <c r="N201" s="45"/>
      <c r="O201" s="61">
        <f t="shared" si="74"/>
        <v>0</v>
      </c>
      <c r="P201" s="92" t="str">
        <f t="shared" si="75"/>
        <v/>
      </c>
      <c r="Q201" s="92" t="str">
        <f t="shared" si="76"/>
        <v/>
      </c>
    </row>
    <row r="202" spans="1:17">
      <c r="A202" s="45"/>
      <c r="B202" s="45"/>
      <c r="C202" s="45"/>
      <c r="D202" s="45"/>
      <c r="E202" s="45"/>
      <c r="F202" s="45"/>
      <c r="G202" s="60"/>
      <c r="H202" s="92" t="str">
        <f t="shared" si="70"/>
        <v/>
      </c>
      <c r="I202" s="86" t="str">
        <f t="shared" si="71"/>
        <v/>
      </c>
      <c r="J202" s="92" t="str">
        <f t="shared" si="72"/>
        <v/>
      </c>
      <c r="K202" s="92" t="str">
        <f t="shared" si="73"/>
        <v/>
      </c>
      <c r="L202" s="45"/>
      <c r="M202" s="45"/>
      <c r="N202" s="45"/>
      <c r="O202" s="61">
        <f t="shared" si="74"/>
        <v>0</v>
      </c>
      <c r="P202" s="92" t="str">
        <f t="shared" si="75"/>
        <v/>
      </c>
      <c r="Q202" s="92" t="str">
        <f t="shared" si="76"/>
        <v/>
      </c>
    </row>
    <row r="203" spans="1:17">
      <c r="A203" s="45"/>
      <c r="B203" s="45"/>
      <c r="C203" s="45"/>
      <c r="D203" s="45"/>
      <c r="E203" s="45"/>
      <c r="F203" s="45"/>
      <c r="G203" s="60"/>
      <c r="H203" s="92" t="str">
        <f t="shared" si="70"/>
        <v/>
      </c>
      <c r="I203" s="86" t="str">
        <f t="shared" si="71"/>
        <v/>
      </c>
      <c r="J203" s="92" t="str">
        <f t="shared" si="72"/>
        <v/>
      </c>
      <c r="K203" s="92" t="str">
        <f t="shared" si="73"/>
        <v/>
      </c>
      <c r="L203" s="45"/>
      <c r="M203" s="45"/>
      <c r="N203" s="45"/>
      <c r="O203" s="61">
        <f t="shared" si="74"/>
        <v>0</v>
      </c>
      <c r="P203" s="92" t="str">
        <f t="shared" si="75"/>
        <v/>
      </c>
      <c r="Q203" s="92" t="str">
        <f t="shared" si="76"/>
        <v/>
      </c>
    </row>
    <row r="204" spans="1:17">
      <c r="A204" s="57" t="s">
        <v>68</v>
      </c>
      <c r="B204" s="49"/>
      <c r="C204" s="49"/>
      <c r="D204" s="49"/>
      <c r="E204" s="49"/>
      <c r="F204" s="49"/>
      <c r="G204" s="49"/>
      <c r="H204" s="49"/>
      <c r="I204" s="49"/>
      <c r="J204" s="49"/>
      <c r="K204" s="49"/>
      <c r="L204" s="49"/>
      <c r="M204" s="49"/>
      <c r="N204" s="49"/>
      <c r="O204" s="49"/>
      <c r="P204" s="91">
        <f>SUM(P197:P203)</f>
        <v>0</v>
      </c>
      <c r="Q204" s="96"/>
    </row>
    <row r="205" spans="1:17">
      <c r="A205" s="58" t="s">
        <v>69</v>
      </c>
      <c r="B205" s="59"/>
      <c r="C205" s="59"/>
      <c r="D205" s="59"/>
      <c r="E205" s="59"/>
      <c r="F205" s="59"/>
      <c r="G205" s="59"/>
      <c r="H205" s="59"/>
      <c r="I205" s="59"/>
      <c r="J205" s="59"/>
      <c r="K205" s="59"/>
      <c r="L205" s="59"/>
      <c r="M205" s="59"/>
      <c r="N205" s="59"/>
      <c r="O205" s="59"/>
      <c r="P205" s="97"/>
      <c r="Q205" s="91">
        <f>SUM(Q197:Q203)</f>
        <v>0</v>
      </c>
    </row>
    <row r="207" spans="1:17">
      <c r="A207" s="17" t="s">
        <v>73</v>
      </c>
      <c r="B207" s="17" t="s">
        <v>47</v>
      </c>
      <c r="C207" s="100" t="s">
        <v>41</v>
      </c>
      <c r="D207" s="101"/>
      <c r="E207" s="17" t="s">
        <v>49</v>
      </c>
      <c r="F207" s="60">
        <v>0</v>
      </c>
      <c r="G207" s="1"/>
    </row>
    <row r="208" spans="1:17">
      <c r="A208" s="2"/>
      <c r="B208" s="2"/>
      <c r="C208" s="1"/>
      <c r="D208" s="1"/>
      <c r="E208" s="2"/>
      <c r="F208" s="56"/>
      <c r="G208" s="1"/>
    </row>
    <row r="209" spans="1:17">
      <c r="A209" s="17" t="s">
        <v>72</v>
      </c>
      <c r="B209" s="17" t="s">
        <v>51</v>
      </c>
      <c r="C209" s="17" t="s">
        <v>52</v>
      </c>
      <c r="D209" s="17" t="s">
        <v>53</v>
      </c>
      <c r="E209" s="17" t="s">
        <v>54</v>
      </c>
      <c r="F209" s="17" t="s">
        <v>55</v>
      </c>
      <c r="G209" s="17" t="s">
        <v>56</v>
      </c>
      <c r="H209" s="17" t="s">
        <v>57</v>
      </c>
      <c r="I209" s="17" t="s">
        <v>58</v>
      </c>
      <c r="J209" s="17" t="s">
        <v>59</v>
      </c>
      <c r="K209" s="17" t="s">
        <v>60</v>
      </c>
      <c r="L209" s="17" t="s">
        <v>61</v>
      </c>
      <c r="M209" s="17" t="s">
        <v>62</v>
      </c>
      <c r="N209" s="17" t="s">
        <v>63</v>
      </c>
      <c r="O209" s="17" t="s">
        <v>64</v>
      </c>
      <c r="P209" s="17" t="s">
        <v>65</v>
      </c>
      <c r="Q209" s="17" t="s">
        <v>66</v>
      </c>
    </row>
    <row r="210" spans="1:17">
      <c r="A210" s="45"/>
      <c r="B210" s="45"/>
      <c r="C210" s="45"/>
      <c r="D210" s="45"/>
      <c r="E210" s="45"/>
      <c r="F210" s="45"/>
      <c r="G210" s="60"/>
      <c r="H210" s="92" t="str">
        <f>IFERROR((E210/B210)*((F210*G210)/C210),"")</f>
        <v/>
      </c>
      <c r="I210" s="86" t="str">
        <f>IFERROR(VLOOKUP(A210,$A$8:$B$13,2,0),"")</f>
        <v/>
      </c>
      <c r="J210" s="92" t="str">
        <f>IFERROR(E210*(1-I210),"")</f>
        <v/>
      </c>
      <c r="K210" s="92" t="str">
        <f>IFERROR(H210*(1-I210),"")</f>
        <v/>
      </c>
      <c r="L210" s="45"/>
      <c r="M210" s="45"/>
      <c r="N210" s="45"/>
      <c r="O210" s="61">
        <f>M210*N210</f>
        <v>0</v>
      </c>
      <c r="P210" s="92" t="str">
        <f>IFERROR(O210*H210,"")</f>
        <v/>
      </c>
      <c r="Q210" s="92" t="str">
        <f>IFERROR(O210*K210,"")</f>
        <v/>
      </c>
    </row>
    <row r="211" spans="1:17">
      <c r="A211" s="45"/>
      <c r="B211" s="45"/>
      <c r="C211" s="45"/>
      <c r="D211" s="45"/>
      <c r="E211" s="45"/>
      <c r="F211" s="45"/>
      <c r="G211" s="60"/>
      <c r="H211" s="92" t="str">
        <f t="shared" ref="H211:H216" si="77">IFERROR((E211/B211)*((F211*G211)/C211),"")</f>
        <v/>
      </c>
      <c r="I211" s="86" t="str">
        <f t="shared" ref="I211:I216" si="78">IFERROR(VLOOKUP(A211,$A$8:$B$13,2,0),"")</f>
        <v/>
      </c>
      <c r="J211" s="92" t="str">
        <f t="shared" ref="J211:J216" si="79">IFERROR(E211*(1-I211),"")</f>
        <v/>
      </c>
      <c r="K211" s="92" t="str">
        <f t="shared" ref="K211:K216" si="80">IFERROR(H211*(1-I211),"")</f>
        <v/>
      </c>
      <c r="L211" s="45"/>
      <c r="M211" s="45"/>
      <c r="N211" s="45"/>
      <c r="O211" s="61">
        <f t="shared" ref="O211:O216" si="81">M211*N211</f>
        <v>0</v>
      </c>
      <c r="P211" s="92" t="str">
        <f t="shared" ref="P211:P216" si="82">IFERROR(O211*H211,"")</f>
        <v/>
      </c>
      <c r="Q211" s="92" t="str">
        <f t="shared" ref="Q211:Q216" si="83">IFERROR(O211*K211,"")</f>
        <v/>
      </c>
    </row>
    <row r="212" spans="1:17">
      <c r="A212" s="45"/>
      <c r="B212" s="45"/>
      <c r="C212" s="45"/>
      <c r="D212" s="45"/>
      <c r="E212" s="45"/>
      <c r="F212" s="45"/>
      <c r="G212" s="60"/>
      <c r="H212" s="92" t="str">
        <f t="shared" si="77"/>
        <v/>
      </c>
      <c r="I212" s="86" t="str">
        <f t="shared" si="78"/>
        <v/>
      </c>
      <c r="J212" s="92" t="str">
        <f t="shared" si="79"/>
        <v/>
      </c>
      <c r="K212" s="92" t="str">
        <f t="shared" si="80"/>
        <v/>
      </c>
      <c r="L212" s="45"/>
      <c r="M212" s="45"/>
      <c r="N212" s="45"/>
      <c r="O212" s="61">
        <f t="shared" si="81"/>
        <v>0</v>
      </c>
      <c r="P212" s="92" t="str">
        <f t="shared" si="82"/>
        <v/>
      </c>
      <c r="Q212" s="92" t="str">
        <f t="shared" si="83"/>
        <v/>
      </c>
    </row>
    <row r="213" spans="1:17">
      <c r="A213" s="45"/>
      <c r="B213" s="45"/>
      <c r="C213" s="45"/>
      <c r="D213" s="45"/>
      <c r="E213" s="45"/>
      <c r="F213" s="45"/>
      <c r="G213" s="60"/>
      <c r="H213" s="92" t="str">
        <f t="shared" si="77"/>
        <v/>
      </c>
      <c r="I213" s="86" t="str">
        <f t="shared" si="78"/>
        <v/>
      </c>
      <c r="J213" s="92" t="str">
        <f t="shared" si="79"/>
        <v/>
      </c>
      <c r="K213" s="92" t="str">
        <f t="shared" si="80"/>
        <v/>
      </c>
      <c r="L213" s="45"/>
      <c r="M213" s="45"/>
      <c r="N213" s="45"/>
      <c r="O213" s="61">
        <f t="shared" si="81"/>
        <v>0</v>
      </c>
      <c r="P213" s="92" t="str">
        <f t="shared" si="82"/>
        <v/>
      </c>
      <c r="Q213" s="92" t="str">
        <f t="shared" si="83"/>
        <v/>
      </c>
    </row>
    <row r="214" spans="1:17">
      <c r="A214" s="45"/>
      <c r="B214" s="45"/>
      <c r="C214" s="45"/>
      <c r="D214" s="45"/>
      <c r="E214" s="45"/>
      <c r="F214" s="45"/>
      <c r="G214" s="60"/>
      <c r="H214" s="92" t="str">
        <f t="shared" si="77"/>
        <v/>
      </c>
      <c r="I214" s="86" t="str">
        <f t="shared" si="78"/>
        <v/>
      </c>
      <c r="J214" s="92" t="str">
        <f t="shared" si="79"/>
        <v/>
      </c>
      <c r="K214" s="92" t="str">
        <f t="shared" si="80"/>
        <v/>
      </c>
      <c r="L214" s="45"/>
      <c r="M214" s="45"/>
      <c r="N214" s="45"/>
      <c r="O214" s="61">
        <f t="shared" si="81"/>
        <v>0</v>
      </c>
      <c r="P214" s="92" t="str">
        <f t="shared" si="82"/>
        <v/>
      </c>
      <c r="Q214" s="92" t="str">
        <f t="shared" si="83"/>
        <v/>
      </c>
    </row>
    <row r="215" spans="1:17">
      <c r="A215" s="45"/>
      <c r="B215" s="45"/>
      <c r="C215" s="45"/>
      <c r="D215" s="45"/>
      <c r="E215" s="45"/>
      <c r="F215" s="45"/>
      <c r="G215" s="60"/>
      <c r="H215" s="92" t="str">
        <f t="shared" si="77"/>
        <v/>
      </c>
      <c r="I215" s="86" t="str">
        <f t="shared" si="78"/>
        <v/>
      </c>
      <c r="J215" s="92" t="str">
        <f t="shared" si="79"/>
        <v/>
      </c>
      <c r="K215" s="92" t="str">
        <f t="shared" si="80"/>
        <v/>
      </c>
      <c r="L215" s="45"/>
      <c r="M215" s="45"/>
      <c r="N215" s="45"/>
      <c r="O215" s="61">
        <f t="shared" si="81"/>
        <v>0</v>
      </c>
      <c r="P215" s="92" t="str">
        <f t="shared" si="82"/>
        <v/>
      </c>
      <c r="Q215" s="92" t="str">
        <f t="shared" si="83"/>
        <v/>
      </c>
    </row>
    <row r="216" spans="1:17">
      <c r="A216" s="45"/>
      <c r="B216" s="45"/>
      <c r="C216" s="45"/>
      <c r="D216" s="45"/>
      <c r="E216" s="45"/>
      <c r="F216" s="45"/>
      <c r="G216" s="60"/>
      <c r="H216" s="92" t="str">
        <f t="shared" si="77"/>
        <v/>
      </c>
      <c r="I216" s="86" t="str">
        <f t="shared" si="78"/>
        <v/>
      </c>
      <c r="J216" s="92" t="str">
        <f t="shared" si="79"/>
        <v/>
      </c>
      <c r="K216" s="92" t="str">
        <f t="shared" si="80"/>
        <v/>
      </c>
      <c r="L216" s="45"/>
      <c r="M216" s="45"/>
      <c r="N216" s="45"/>
      <c r="O216" s="61">
        <f t="shared" si="81"/>
        <v>0</v>
      </c>
      <c r="P216" s="92" t="str">
        <f t="shared" si="82"/>
        <v/>
      </c>
      <c r="Q216" s="92" t="str">
        <f t="shared" si="83"/>
        <v/>
      </c>
    </row>
    <row r="217" spans="1:17">
      <c r="A217" s="57" t="s">
        <v>68</v>
      </c>
      <c r="B217" s="49"/>
      <c r="C217" s="49"/>
      <c r="D217" s="49"/>
      <c r="E217" s="49"/>
      <c r="F217" s="49"/>
      <c r="G217" s="49"/>
      <c r="H217" s="49"/>
      <c r="I217" s="49"/>
      <c r="J217" s="49"/>
      <c r="K217" s="49"/>
      <c r="L217" s="49"/>
      <c r="M217" s="49"/>
      <c r="N217" s="49"/>
      <c r="O217" s="49"/>
      <c r="P217" s="91">
        <f>SUM(P210:P216)</f>
        <v>0</v>
      </c>
      <c r="Q217" s="96"/>
    </row>
    <row r="218" spans="1:17">
      <c r="A218" s="58" t="s">
        <v>69</v>
      </c>
      <c r="B218" s="59"/>
      <c r="C218" s="59"/>
      <c r="D218" s="59"/>
      <c r="E218" s="59"/>
      <c r="F218" s="59"/>
      <c r="G218" s="59"/>
      <c r="H218" s="59"/>
      <c r="I218" s="59"/>
      <c r="J218" s="59"/>
      <c r="K218" s="59"/>
      <c r="L218" s="59"/>
      <c r="M218" s="59"/>
      <c r="N218" s="59"/>
      <c r="O218" s="59"/>
      <c r="P218" s="97"/>
      <c r="Q218" s="91">
        <f>SUM(Q210:Q216)</f>
        <v>0</v>
      </c>
    </row>
    <row r="219" spans="1:17">
      <c r="A219" s="2"/>
      <c r="P219" s="2"/>
      <c r="Q219" s="2"/>
    </row>
    <row r="220" spans="1:17">
      <c r="A220" s="16" t="s">
        <v>117</v>
      </c>
    </row>
    <row r="221" spans="1:17">
      <c r="A221" s="57" t="s">
        <v>118</v>
      </c>
      <c r="B221" s="49"/>
      <c r="C221" s="49"/>
      <c r="D221" s="49"/>
      <c r="E221" s="49"/>
      <c r="F221" s="49"/>
      <c r="G221" s="49"/>
      <c r="H221" s="49"/>
      <c r="I221" s="49"/>
      <c r="J221" s="49"/>
      <c r="K221" s="49"/>
      <c r="L221" s="49"/>
      <c r="M221" s="49"/>
      <c r="N221" s="49"/>
      <c r="O221" s="49"/>
      <c r="P221" s="92">
        <f>P191*F181+P204*F194+P217*F207</f>
        <v>0</v>
      </c>
      <c r="Q221" s="93"/>
    </row>
    <row r="222" spans="1:17">
      <c r="A222" s="58" t="s">
        <v>119</v>
      </c>
      <c r="B222" s="59"/>
      <c r="C222" s="59"/>
      <c r="D222" s="59"/>
      <c r="E222" s="59"/>
      <c r="F222" s="59"/>
      <c r="G222" s="59"/>
      <c r="H222" s="59"/>
      <c r="I222" s="59"/>
      <c r="J222" s="59"/>
      <c r="K222" s="59"/>
      <c r="L222" s="59"/>
      <c r="M222" s="59"/>
      <c r="N222" s="59"/>
      <c r="O222" s="59"/>
      <c r="P222" s="94"/>
      <c r="Q222" s="92">
        <f>Q192*F181+Q205*F194+Q218*F207</f>
        <v>0</v>
      </c>
    </row>
    <row r="224" spans="1:17" s="9" customFormat="1" ht="14.25" customHeight="1"/>
    <row r="225" spans="1:17" ht="14.25" customHeight="1"/>
    <row r="226" spans="1:17" ht="14.25" customHeight="1">
      <c r="A226" s="16" t="s">
        <v>120</v>
      </c>
    </row>
    <row r="227" spans="1:17">
      <c r="A227" s="57" t="s">
        <v>121</v>
      </c>
      <c r="B227" s="49"/>
      <c r="C227" s="49"/>
      <c r="D227" s="49"/>
      <c r="E227" s="49"/>
      <c r="F227" s="49"/>
      <c r="G227" s="49"/>
      <c r="H227" s="49"/>
      <c r="I227" s="49"/>
      <c r="J227" s="49"/>
      <c r="K227" s="49"/>
      <c r="L227" s="49"/>
      <c r="M227" s="49"/>
      <c r="N227" s="49"/>
      <c r="O227" s="49"/>
      <c r="P227" s="91">
        <f>P169*B125+P117*B73+P65*B21+P221*B177</f>
        <v>203395.875</v>
      </c>
      <c r="Q227" s="96"/>
    </row>
    <row r="228" spans="1:17">
      <c r="A228" s="58" t="s">
        <v>122</v>
      </c>
      <c r="B228" s="59"/>
      <c r="C228" s="59"/>
      <c r="D228" s="59"/>
      <c r="E228" s="59"/>
      <c r="F228" s="59"/>
      <c r="G228" s="59"/>
      <c r="H228" s="59"/>
      <c r="I228" s="59"/>
      <c r="J228" s="59"/>
      <c r="K228" s="59"/>
      <c r="L228" s="59"/>
      <c r="M228" s="59"/>
      <c r="N228" s="59"/>
      <c r="O228" s="59"/>
      <c r="P228" s="97"/>
      <c r="Q228" s="91">
        <f>Q170*B125+Q118*B73+Q66*B21+Q222*B177</f>
        <v>166030.35</v>
      </c>
    </row>
  </sheetData>
  <sheetProtection algorithmName="SHA-512" hashValue="DzKA4KxgVup4eSh5d5NLuSUdPynx7+WcuDOjIklACgDxLVjD5lFjVcjzoJMK8YhYdaB8MmDRMUb1vPzrwCkC5g==" saltValue="MghNNSx7ppnSvhvZb7jkng==" spinCount="100000" sheet="1" formatCells="0" formatColumns="0" formatRows="0" insertHyperlinks="0" sort="0" autoFilter="0" pivotTables="0"/>
  <mergeCells count="22">
    <mergeCell ref="B71:E71"/>
    <mergeCell ref="B75:E75"/>
    <mergeCell ref="B123:E123"/>
    <mergeCell ref="B127:E127"/>
    <mergeCell ref="B3:E3"/>
    <mergeCell ref="B5:E5"/>
    <mergeCell ref="C25:D25"/>
    <mergeCell ref="C38:D38"/>
    <mergeCell ref="C51:D51"/>
    <mergeCell ref="B19:E19"/>
    <mergeCell ref="B23:E23"/>
    <mergeCell ref="C155:D155"/>
    <mergeCell ref="C181:D181"/>
    <mergeCell ref="C194:D194"/>
    <mergeCell ref="C207:D207"/>
    <mergeCell ref="C77:D77"/>
    <mergeCell ref="C90:D90"/>
    <mergeCell ref="C103:D103"/>
    <mergeCell ref="C129:D129"/>
    <mergeCell ref="C142:D142"/>
    <mergeCell ref="B179:E179"/>
    <mergeCell ref="B175:E175"/>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C3F676-58F6-49A7-B854-4D41F522B6A2}">
          <x14:formula1>
            <xm:f>'Engine (Calcs and lists)'!$O$2:$O$6</xm:f>
          </x14:formula1>
          <xm:sqref>D28:D34 D41:D47 D54:D60 D197:D203 D80:D86 D93:D99 D132:D138 D106:D112 D158:D164 D145:D151 D184:D190 D210:D216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8"/>
  <sheetViews>
    <sheetView showGridLines="0" showRowColHeaders="0" workbookViewId="0">
      <selection activeCell="F26" sqref="F26"/>
    </sheetView>
  </sheetViews>
  <sheetFormatPr defaultRowHeight="15"/>
  <cols>
    <col min="1" max="1" width="93.7109375" bestFit="1" customWidth="1"/>
    <col min="2" max="2" width="10" bestFit="1" customWidth="1"/>
    <col min="6" max="6" width="35.7109375" customWidth="1"/>
    <col min="7" max="7" width="96.28515625" customWidth="1"/>
  </cols>
  <sheetData>
    <row r="1" spans="1:9" s="18" customFormat="1">
      <c r="A1" s="18" t="str">
        <f>_xlfn.CONCAT("Input - Patient numbers:"," ",IF('Cover Page'!$D$16="Enter SMC number (e.g, SMC 0000)","",'Cover Page'!$D$16)," ",IF('Cover Page'!$D$14="Enter generic name","",'Cover Page'!$D$14)," ",IF('Cover Page'!$D$15="Enter brand name","",_xlfn.CONCAT("(",'Cover Page'!$D$15,")")))</f>
        <v>Input - Patient numbers: SMC123# Empagumab (EXAMPLEBRANDNAME)</v>
      </c>
    </row>
    <row r="2" spans="1:9" s="26" customFormat="1"/>
    <row r="3" spans="1:9">
      <c r="A3" s="2"/>
      <c r="F3" s="2"/>
      <c r="G3" s="2"/>
      <c r="I3" s="3"/>
    </row>
    <row r="4" spans="1:9">
      <c r="A4" s="16" t="s">
        <v>123</v>
      </c>
    </row>
    <row r="5" spans="1:9">
      <c r="A5" s="17" t="s">
        <v>124</v>
      </c>
      <c r="B5" s="90">
        <v>5485890</v>
      </c>
    </row>
    <row r="6" spans="1:9">
      <c r="A6" s="2"/>
    </row>
    <row r="7" spans="1:9">
      <c r="A7" s="13" t="s">
        <v>24</v>
      </c>
    </row>
    <row r="8" spans="1:9">
      <c r="A8" s="17" t="s">
        <v>125</v>
      </c>
      <c r="B8" s="72" t="s">
        <v>21</v>
      </c>
      <c r="C8" s="17" t="s">
        <v>22</v>
      </c>
      <c r="D8" s="17" t="s">
        <v>23</v>
      </c>
      <c r="F8" s="2" t="s">
        <v>126</v>
      </c>
      <c r="G8" s="2" t="s">
        <v>40</v>
      </c>
    </row>
    <row r="9" spans="1:9">
      <c r="A9" s="13" t="s">
        <v>127</v>
      </c>
      <c r="B9" s="72"/>
      <c r="C9" s="17"/>
      <c r="D9" s="17"/>
      <c r="F9" s="2"/>
      <c r="G9" s="2"/>
    </row>
    <row r="10" spans="1:9">
      <c r="A10" s="47" t="s">
        <v>128</v>
      </c>
      <c r="B10" s="89">
        <v>200</v>
      </c>
      <c r="C10" s="45">
        <v>250</v>
      </c>
      <c r="D10" s="45">
        <v>320</v>
      </c>
      <c r="F10" s="70" t="s">
        <v>129</v>
      </c>
      <c r="G10" s="70" t="s">
        <v>130</v>
      </c>
    </row>
    <row r="11" spans="1:9">
      <c r="A11" s="47" t="s">
        <v>131</v>
      </c>
      <c r="B11" s="89">
        <v>50</v>
      </c>
      <c r="C11" s="45">
        <v>70</v>
      </c>
      <c r="D11" s="45">
        <v>90</v>
      </c>
      <c r="F11" s="70" t="s">
        <v>129</v>
      </c>
      <c r="G11" s="70" t="s">
        <v>132</v>
      </c>
    </row>
    <row r="12" spans="1:9">
      <c r="A12" s="47" t="s">
        <v>133</v>
      </c>
      <c r="B12" s="19">
        <f>SUM(B10:B11)</f>
        <v>250</v>
      </c>
      <c r="C12" s="78">
        <f t="shared" ref="C12:D12" si="0">SUM(C10:C11)</f>
        <v>320</v>
      </c>
      <c r="D12" s="78">
        <f t="shared" si="0"/>
        <v>410</v>
      </c>
    </row>
    <row r="13" spans="1:9">
      <c r="A13" s="77" t="s">
        <v>134</v>
      </c>
      <c r="B13" s="81"/>
      <c r="C13" s="82"/>
      <c r="D13" s="72"/>
    </row>
    <row r="14" spans="1:9">
      <c r="A14" s="73" t="s">
        <v>135</v>
      </c>
      <c r="B14" s="79">
        <v>0.1</v>
      </c>
      <c r="C14" s="80">
        <v>0.1</v>
      </c>
      <c r="D14" s="80">
        <v>0.1</v>
      </c>
      <c r="F14" s="70" t="s">
        <v>129</v>
      </c>
      <c r="G14" s="70" t="s">
        <v>136</v>
      </c>
    </row>
    <row r="15" spans="1:9">
      <c r="A15" s="75" t="s">
        <v>137</v>
      </c>
      <c r="B15" s="78">
        <f>B12-(B12*B14)</f>
        <v>225</v>
      </c>
      <c r="C15" s="78">
        <f>C12-(C12*C14)</f>
        <v>288</v>
      </c>
      <c r="D15" s="78">
        <f>D12-(D12*D14)</f>
        <v>369</v>
      </c>
    </row>
    <row r="16" spans="1:9">
      <c r="A16" s="83" t="s">
        <v>138</v>
      </c>
      <c r="B16" s="23"/>
      <c r="C16" s="24"/>
      <c r="D16" s="20"/>
    </row>
    <row r="17" spans="1:7">
      <c r="A17" s="47" t="s">
        <v>139</v>
      </c>
      <c r="B17" s="79">
        <v>0.8</v>
      </c>
      <c r="C17" s="80">
        <v>0.8</v>
      </c>
      <c r="D17" s="80">
        <v>0.8</v>
      </c>
      <c r="F17" s="70" t="s">
        <v>129</v>
      </c>
      <c r="G17" s="70" t="s">
        <v>140</v>
      </c>
    </row>
    <row r="18" spans="1:7">
      <c r="A18" s="74" t="s">
        <v>141</v>
      </c>
      <c r="B18" s="19">
        <f>(B17*B15)</f>
        <v>180</v>
      </c>
      <c r="C18" s="78">
        <f t="shared" ref="C18:D18" si="1">(C17*C15)</f>
        <v>230.4</v>
      </c>
      <c r="D18" s="78">
        <f t="shared" si="1"/>
        <v>295.2</v>
      </c>
    </row>
    <row r="19" spans="1:7">
      <c r="A19" s="84" t="s">
        <v>142</v>
      </c>
      <c r="B19" s="23"/>
      <c r="C19" s="24"/>
      <c r="D19" s="20"/>
    </row>
    <row r="20" spans="1:7">
      <c r="A20" s="47" t="s">
        <v>143</v>
      </c>
      <c r="B20" s="79">
        <v>1</v>
      </c>
      <c r="C20" s="80">
        <v>1</v>
      </c>
      <c r="D20" s="80">
        <v>1</v>
      </c>
      <c r="F20" s="70" t="s">
        <v>129</v>
      </c>
      <c r="G20" s="70" t="s">
        <v>144</v>
      </c>
    </row>
    <row r="21" spans="1:7">
      <c r="A21" s="75" t="s">
        <v>145</v>
      </c>
      <c r="B21" s="19">
        <f>(B20*B18)</f>
        <v>180</v>
      </c>
      <c r="C21" s="78">
        <f t="shared" ref="C21:D21" si="2">(C20*C18)</f>
        <v>230.4</v>
      </c>
      <c r="D21" s="78">
        <f t="shared" si="2"/>
        <v>295.2</v>
      </c>
    </row>
    <row r="22" spans="1:7">
      <c r="A22" s="76" t="s">
        <v>146</v>
      </c>
      <c r="B22" s="23"/>
      <c r="C22" s="24"/>
      <c r="D22" s="20"/>
    </row>
    <row r="23" spans="1:7">
      <c r="A23" s="47" t="s">
        <v>147</v>
      </c>
      <c r="B23" s="79">
        <v>0.25</v>
      </c>
      <c r="C23" s="80">
        <v>0.25</v>
      </c>
      <c r="D23" s="80">
        <v>0.25</v>
      </c>
      <c r="F23" s="70" t="s">
        <v>129</v>
      </c>
      <c r="G23" s="70" t="s">
        <v>148</v>
      </c>
    </row>
    <row r="24" spans="1:7">
      <c r="A24" s="47" t="s">
        <v>149</v>
      </c>
      <c r="B24" s="19">
        <f>(B23*B21)</f>
        <v>45</v>
      </c>
      <c r="C24" s="78">
        <f t="shared" ref="C24:D24" si="3">(C23*C21)</f>
        <v>57.6</v>
      </c>
      <c r="D24" s="78">
        <f t="shared" si="3"/>
        <v>73.8</v>
      </c>
    </row>
    <row r="25" spans="1:7">
      <c r="A25" s="77" t="s">
        <v>150</v>
      </c>
      <c r="B25" s="23"/>
      <c r="C25" s="24"/>
      <c r="D25" s="20"/>
    </row>
    <row r="26" spans="1:7">
      <c r="A26" s="47" t="s">
        <v>151</v>
      </c>
      <c r="B26" s="79">
        <v>0</v>
      </c>
      <c r="C26" s="80">
        <v>0</v>
      </c>
      <c r="D26" s="80">
        <v>0</v>
      </c>
      <c r="F26" s="70" t="s">
        <v>129</v>
      </c>
      <c r="G26" s="70" t="s">
        <v>152</v>
      </c>
    </row>
    <row r="27" spans="1:7">
      <c r="A27" s="51"/>
      <c r="B27" s="1"/>
      <c r="C27" s="1"/>
      <c r="D27" s="69"/>
    </row>
    <row r="28" spans="1:7">
      <c r="A28" s="17" t="s">
        <v>153</v>
      </c>
      <c r="B28" s="20">
        <f>B24*(1-B26)</f>
        <v>45</v>
      </c>
      <c r="C28" s="47">
        <f>C24*(1-C26)</f>
        <v>57.6</v>
      </c>
      <c r="D28" s="47">
        <f>D24*(1-D26)</f>
        <v>73.8</v>
      </c>
    </row>
  </sheetData>
  <sheetProtection algorithmName="SHA-512" hashValue="hqhqa322rPiIiASXvf+6H6IVhnCuF4hkfBOwRxO8WtSAcSbEUC/cKqXzJhB9DB8QL1LEPm5ZvKoSJcXIvvrtlQ==" saltValue="FNzmlWxR5VMTChmZLZ6ITQ==" spinCount="100000" sheet="1" formatCells="0" formatColumns="0" formatRows="0" insertHyperlinks="0" sort="0" autoFilter="0" pivotTables="0"/>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19"/>
  <sheetViews>
    <sheetView showGridLines="0" workbookViewId="0">
      <selection activeCell="B18" sqref="B18:B19"/>
    </sheetView>
  </sheetViews>
  <sheetFormatPr defaultRowHeight="15"/>
  <cols>
    <col min="1" max="1" width="36.5703125" bestFit="1" customWidth="1"/>
    <col min="2" max="2" width="14.42578125" bestFit="1" customWidth="1"/>
    <col min="3" max="3" width="16.85546875" bestFit="1" customWidth="1"/>
    <col min="4" max="4" width="7" bestFit="1" customWidth="1"/>
    <col min="5" max="5" width="7" customWidth="1"/>
    <col min="6" max="6" width="30.85546875" bestFit="1" customWidth="1"/>
    <col min="7" max="7" width="14.42578125" bestFit="1" customWidth="1"/>
    <col min="8" max="8" width="37.5703125" bestFit="1" customWidth="1"/>
    <col min="9" max="9" width="8.140625" bestFit="1" customWidth="1"/>
    <col min="10" max="10" width="7" customWidth="1"/>
    <col min="11" max="11" width="30.85546875" bestFit="1" customWidth="1"/>
    <col min="12" max="12" width="14.42578125" bestFit="1" customWidth="1"/>
    <col min="13" max="13" width="37.5703125" bestFit="1" customWidth="1"/>
    <col min="15" max="15" width="7" customWidth="1"/>
    <col min="16" max="16" width="30.85546875" bestFit="1" customWidth="1"/>
    <col min="17" max="17" width="14.42578125" bestFit="1" customWidth="1"/>
    <col min="18" max="18" width="37.5703125" bestFit="1" customWidth="1"/>
    <col min="19" max="19" width="7" bestFit="1" customWidth="1"/>
    <col min="21" max="21" width="30.85546875" bestFit="1" customWidth="1"/>
    <col min="22" max="22" width="14.42578125" bestFit="1" customWidth="1"/>
    <col min="23" max="23" width="37.5703125" bestFit="1" customWidth="1"/>
    <col min="24" max="24" width="7" bestFit="1" customWidth="1"/>
  </cols>
  <sheetData>
    <row r="1" spans="1:24" s="18" customFormat="1">
      <c r="A1" s="18" t="str">
        <f>_xlfn.CONCAT("Input - Service Resource Other:"," ",IF('Cover Page'!$D$16="Enter SMC number (e.g, SMC 0000)","",'Cover Page'!$D$16)," ",IF('Cover Page'!$D$14="Enter generic name","",'Cover Page'!$D$14)," ",IF('Cover Page'!$D$15="Enter brand name","",_xlfn.CONCAT("(",'Cover Page'!$D$15,")")))</f>
        <v>Input - Service Resource Other: SMC123# Empagumab (EXAMPLEBRANDNAME)</v>
      </c>
    </row>
    <row r="3" spans="1:24">
      <c r="A3" s="12" t="s">
        <v>32</v>
      </c>
    </row>
    <row r="4" spans="1:24">
      <c r="A4" s="21"/>
    </row>
    <row r="5" spans="1:24">
      <c r="A5" s="16" t="s">
        <v>154</v>
      </c>
      <c r="F5" s="13" t="s">
        <v>155</v>
      </c>
      <c r="K5" s="16" t="s">
        <v>156</v>
      </c>
      <c r="P5" s="13" t="s">
        <v>157</v>
      </c>
      <c r="U5" s="13" t="s">
        <v>158</v>
      </c>
    </row>
    <row r="6" spans="1:24">
      <c r="A6" s="17" t="s">
        <v>159</v>
      </c>
      <c r="B6" s="45" t="s">
        <v>2</v>
      </c>
      <c r="F6" s="17" t="s">
        <v>159</v>
      </c>
      <c r="G6" s="45" t="s">
        <v>83</v>
      </c>
      <c r="H6" s="17" t="s">
        <v>93</v>
      </c>
      <c r="I6" s="71">
        <v>0.25</v>
      </c>
      <c r="K6" s="17" t="s">
        <v>159</v>
      </c>
      <c r="L6" s="45" t="s">
        <v>85</v>
      </c>
      <c r="M6" s="17" t="s">
        <v>93</v>
      </c>
      <c r="N6" s="71">
        <v>0.45</v>
      </c>
      <c r="P6" s="17" t="s">
        <v>159</v>
      </c>
      <c r="Q6" s="45" t="s">
        <v>86</v>
      </c>
      <c r="R6" s="17" t="s">
        <v>93</v>
      </c>
      <c r="S6" s="71">
        <v>0.3</v>
      </c>
      <c r="U6" s="17" t="s">
        <v>159</v>
      </c>
      <c r="V6" s="45" t="s">
        <v>160</v>
      </c>
      <c r="W6" s="17" t="s">
        <v>93</v>
      </c>
      <c r="X6" s="71">
        <v>0</v>
      </c>
    </row>
    <row r="7" spans="1:24">
      <c r="A7" s="17" t="s">
        <v>161</v>
      </c>
      <c r="B7" s="17" t="s">
        <v>162</v>
      </c>
      <c r="C7" s="17" t="s">
        <v>163</v>
      </c>
      <c r="D7" s="17" t="s">
        <v>126</v>
      </c>
      <c r="E7" s="2"/>
      <c r="F7" s="17" t="s">
        <v>161</v>
      </c>
      <c r="G7" s="17" t="s">
        <v>162</v>
      </c>
      <c r="H7" s="17" t="s">
        <v>163</v>
      </c>
      <c r="I7" s="17" t="s">
        <v>126</v>
      </c>
      <c r="K7" s="17" t="s">
        <v>161</v>
      </c>
      <c r="L7" s="17" t="s">
        <v>162</v>
      </c>
      <c r="M7" s="17" t="s">
        <v>163</v>
      </c>
      <c r="N7" s="17" t="s">
        <v>126</v>
      </c>
      <c r="P7" s="17" t="s">
        <v>161</v>
      </c>
      <c r="Q7" s="17" t="s">
        <v>162</v>
      </c>
      <c r="R7" s="17" t="s">
        <v>163</v>
      </c>
      <c r="S7" s="17" t="s">
        <v>126</v>
      </c>
      <c r="U7" s="17" t="s">
        <v>161</v>
      </c>
      <c r="V7" s="17" t="s">
        <v>162</v>
      </c>
      <c r="W7" s="17" t="s">
        <v>163</v>
      </c>
      <c r="X7" s="17" t="s">
        <v>126</v>
      </c>
    </row>
    <row r="8" spans="1:24">
      <c r="D8" s="19"/>
      <c r="F8" s="23"/>
      <c r="G8" s="24"/>
      <c r="H8" s="24"/>
      <c r="I8" s="20"/>
      <c r="K8" s="23"/>
      <c r="L8" s="24"/>
      <c r="M8" s="24"/>
      <c r="N8" s="20"/>
      <c r="P8" s="23"/>
      <c r="Q8" s="24"/>
      <c r="R8" s="24"/>
      <c r="S8" s="20"/>
      <c r="U8" s="23"/>
      <c r="V8" s="24"/>
      <c r="W8" s="24"/>
      <c r="X8" s="20"/>
    </row>
    <row r="9" spans="1:24">
      <c r="A9" s="45" t="s">
        <v>160</v>
      </c>
      <c r="B9" s="95">
        <v>0</v>
      </c>
      <c r="C9" s="45">
        <v>0</v>
      </c>
      <c r="D9" s="45" t="s">
        <v>164</v>
      </c>
      <c r="E9" s="1"/>
      <c r="F9" s="45" t="s">
        <v>165</v>
      </c>
      <c r="G9" s="95">
        <v>250</v>
      </c>
      <c r="H9" s="45">
        <v>15</v>
      </c>
      <c r="I9" s="45" t="s">
        <v>126</v>
      </c>
      <c r="K9" s="45" t="s">
        <v>166</v>
      </c>
      <c r="L9" s="95">
        <v>1000</v>
      </c>
      <c r="M9" s="45">
        <v>1</v>
      </c>
      <c r="N9" s="45" t="s">
        <v>167</v>
      </c>
      <c r="P9" s="45" t="s">
        <v>160</v>
      </c>
      <c r="Q9" s="95">
        <v>0</v>
      </c>
      <c r="R9" s="45">
        <v>0</v>
      </c>
      <c r="S9" s="45" t="s">
        <v>164</v>
      </c>
      <c r="U9" s="45" t="s">
        <v>160</v>
      </c>
      <c r="V9" s="95">
        <v>0</v>
      </c>
      <c r="W9" s="45">
        <v>0</v>
      </c>
      <c r="X9" s="45" t="s">
        <v>164</v>
      </c>
    </row>
    <row r="10" spans="1:24">
      <c r="A10" s="45" t="s">
        <v>160</v>
      </c>
      <c r="B10" s="95">
        <v>0</v>
      </c>
      <c r="C10" s="45">
        <v>0</v>
      </c>
      <c r="D10" s="45" t="s">
        <v>164</v>
      </c>
      <c r="E10" s="1"/>
      <c r="F10" s="45" t="s">
        <v>160</v>
      </c>
      <c r="G10" s="95">
        <v>0</v>
      </c>
      <c r="H10" s="45">
        <v>0</v>
      </c>
      <c r="I10" s="45" t="s">
        <v>164</v>
      </c>
      <c r="K10" s="45" t="s">
        <v>160</v>
      </c>
      <c r="L10" s="95">
        <v>0</v>
      </c>
      <c r="M10" s="45">
        <v>0</v>
      </c>
      <c r="N10" s="45" t="s">
        <v>164</v>
      </c>
      <c r="P10" s="45" t="s">
        <v>160</v>
      </c>
      <c r="Q10" s="95">
        <v>0</v>
      </c>
      <c r="R10" s="45">
        <v>0</v>
      </c>
      <c r="S10" s="45" t="s">
        <v>164</v>
      </c>
      <c r="U10" s="45" t="s">
        <v>160</v>
      </c>
      <c r="V10" s="95">
        <v>0</v>
      </c>
      <c r="W10" s="45">
        <v>0</v>
      </c>
      <c r="X10" s="45" t="s">
        <v>164</v>
      </c>
    </row>
    <row r="11" spans="1:24">
      <c r="A11" s="2"/>
      <c r="B11" s="20"/>
      <c r="F11" s="23"/>
      <c r="G11" s="20"/>
      <c r="K11" s="15"/>
      <c r="L11" s="25"/>
      <c r="P11" s="23"/>
      <c r="Q11" s="20"/>
      <c r="U11" s="23"/>
      <c r="V11" s="20"/>
    </row>
    <row r="12" spans="1:24">
      <c r="A12" s="17" t="s">
        <v>168</v>
      </c>
      <c r="B12" s="91">
        <f>B9*C9+B10*C10</f>
        <v>0</v>
      </c>
      <c r="F12" s="17" t="s">
        <v>168</v>
      </c>
      <c r="G12" s="91">
        <f>G9*H9+G10*H10</f>
        <v>3750</v>
      </c>
      <c r="K12" s="17" t="s">
        <v>168</v>
      </c>
      <c r="L12" s="98">
        <f>L9*M9+L10*M10</f>
        <v>1000</v>
      </c>
      <c r="P12" s="17" t="s">
        <v>168</v>
      </c>
      <c r="Q12" s="98">
        <f>Q9*R9+Q10*R10</f>
        <v>0</v>
      </c>
      <c r="U12" s="17" t="s">
        <v>168</v>
      </c>
      <c r="V12" s="98">
        <f>V9*W9+V10*W10</f>
        <v>0</v>
      </c>
    </row>
    <row r="13" spans="1:24">
      <c r="A13" s="2"/>
    </row>
    <row r="14" spans="1:24" ht="62.25" customHeight="1">
      <c r="A14" s="22" t="s">
        <v>169</v>
      </c>
      <c r="B14" s="102" t="s">
        <v>170</v>
      </c>
      <c r="C14" s="102"/>
      <c r="D14" s="102"/>
      <c r="E14" s="102"/>
      <c r="F14" s="102"/>
    </row>
    <row r="15" spans="1:24">
      <c r="A15" s="2"/>
      <c r="B15" s="1"/>
    </row>
    <row r="16" spans="1:24">
      <c r="A16" s="2"/>
      <c r="B16" s="1"/>
    </row>
    <row r="17" spans="1:2">
      <c r="A17" s="16" t="s">
        <v>171</v>
      </c>
    </row>
    <row r="18" spans="1:2">
      <c r="A18" s="17" t="s">
        <v>172</v>
      </c>
      <c r="B18" s="91">
        <f>$B$12</f>
        <v>0</v>
      </c>
    </row>
    <row r="19" spans="1:2">
      <c r="A19" s="17" t="s">
        <v>173</v>
      </c>
      <c r="B19" s="91">
        <f>$I$6*($G$12)+$N$6*($L$12)+$S$6*($Q$12)+$X$6*($V$12)</f>
        <v>1387.5</v>
      </c>
    </row>
  </sheetData>
  <sheetProtection algorithmName="SHA-512" hashValue="nu46+SVYqr4bPxTvnofpcP11aftl/eyBJQYTbEJwzsN0/8GHYzHJZ88EH6zGclaz7c4hXDOIzcmqWIJEIo3hVA==" saltValue="LtiRTgZxXi+Z+YZnNYe/jw==" spinCount="100000" sheet="1" formatCells="0" formatColumns="0" formatRows="0" insertHyperlinks="0" sort="0" autoFilter="0" pivotTables="0"/>
  <mergeCells count="1">
    <mergeCell ref="B14:F1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17"/>
  <sheetViews>
    <sheetView showGridLines="0" workbookViewId="0">
      <selection activeCell="A56" sqref="A56"/>
    </sheetView>
  </sheetViews>
  <sheetFormatPr defaultRowHeight="15"/>
  <cols>
    <col min="1" max="1" width="34.140625" customWidth="1"/>
    <col min="2" max="2" width="101.7109375" customWidth="1"/>
    <col min="3" max="3" width="90" customWidth="1"/>
  </cols>
  <sheetData>
    <row r="1" spans="1:3" s="18" customFormat="1">
      <c r="A1" s="18" t="str">
        <f>_xlfn.CONCAT("Guide:"," ",IF('Cover Page'!$D$16="Enter SMC number (e.g, SMC 0000)","",'Cover Page'!$D$16)," ",IF('Cover Page'!$D$14="Enter generic name","",'Cover Page'!$D$14)," ",IF('Cover Page'!$D$15="Enter brand name","",_xlfn.CONCAT("(",'Cover Page'!$D$15,")")))</f>
        <v>Guide: SMC123# Empagumab (EXAMPLEBRANDNAME)</v>
      </c>
    </row>
    <row r="2" spans="1:3">
      <c r="A2" s="26"/>
    </row>
    <row r="3" spans="1:3">
      <c r="A3" s="13" t="s">
        <v>174</v>
      </c>
    </row>
    <row r="4" spans="1:3">
      <c r="A4" s="17" t="s">
        <v>175</v>
      </c>
      <c r="B4" s="17" t="s">
        <v>176</v>
      </c>
    </row>
    <row r="5" spans="1:3">
      <c r="A5" s="14" t="s">
        <v>177</v>
      </c>
      <c r="B5" s="27" t="s">
        <v>178</v>
      </c>
    </row>
    <row r="6" spans="1:3">
      <c r="A6" s="28" t="s">
        <v>179</v>
      </c>
      <c r="B6" s="27" t="s">
        <v>180</v>
      </c>
    </row>
    <row r="9" spans="1:3">
      <c r="A9" s="13" t="s">
        <v>181</v>
      </c>
      <c r="B9" s="3"/>
    </row>
    <row r="10" spans="1:3" ht="15.75" thickBot="1"/>
    <row r="11" spans="1:3" ht="15.75" thickBot="1">
      <c r="A11" s="29" t="s">
        <v>182</v>
      </c>
      <c r="B11" s="30"/>
      <c r="C11" s="30"/>
    </row>
    <row r="12" spans="1:3" ht="15.75" thickBot="1">
      <c r="A12" s="6" t="s">
        <v>183</v>
      </c>
      <c r="B12" s="7" t="s">
        <v>159</v>
      </c>
      <c r="C12" s="7" t="s">
        <v>176</v>
      </c>
    </row>
    <row r="13" spans="1:3" ht="30.75" thickBot="1">
      <c r="A13" s="6" t="s">
        <v>184</v>
      </c>
      <c r="B13" s="7" t="s">
        <v>185</v>
      </c>
      <c r="C13" s="7" t="s">
        <v>186</v>
      </c>
    </row>
    <row r="14" spans="1:3" ht="30.75" thickBot="1">
      <c r="A14" s="6" t="s">
        <v>187</v>
      </c>
      <c r="B14" s="7" t="s">
        <v>12</v>
      </c>
      <c r="C14" s="7" t="s">
        <v>188</v>
      </c>
    </row>
    <row r="15" spans="1:3" ht="30.75" thickBot="1">
      <c r="A15" s="6" t="s">
        <v>189</v>
      </c>
      <c r="B15" s="7" t="s">
        <v>190</v>
      </c>
      <c r="C15" s="7" t="s">
        <v>191</v>
      </c>
    </row>
    <row r="16" spans="1:3" ht="30.75" thickBot="1">
      <c r="A16" s="6" t="s">
        <v>192</v>
      </c>
      <c r="B16" s="7" t="s">
        <v>193</v>
      </c>
      <c r="C16" s="7" t="s">
        <v>194</v>
      </c>
    </row>
    <row r="17" spans="1:3" ht="30.75" thickBot="1">
      <c r="A17" s="6" t="s">
        <v>195</v>
      </c>
      <c r="B17" s="7" t="s">
        <v>17</v>
      </c>
      <c r="C17" s="7" t="s">
        <v>196</v>
      </c>
    </row>
    <row r="18" spans="1:3" ht="30.75" thickBot="1">
      <c r="A18" s="6" t="s">
        <v>197</v>
      </c>
      <c r="B18" s="7" t="s">
        <v>198</v>
      </c>
      <c r="C18" s="7" t="s">
        <v>199</v>
      </c>
    </row>
    <row r="19" spans="1:3" ht="15.75" thickBot="1">
      <c r="A19" s="88" t="s">
        <v>200</v>
      </c>
      <c r="B19" s="88" t="s">
        <v>201</v>
      </c>
      <c r="C19" s="87" t="s">
        <v>202</v>
      </c>
    </row>
    <row r="20" spans="1:3" ht="15.75" thickBot="1"/>
    <row r="21" spans="1:3" ht="15.75" thickBot="1">
      <c r="A21" s="31" t="s">
        <v>203</v>
      </c>
      <c r="B21" s="32"/>
      <c r="C21" s="32"/>
    </row>
    <row r="22" spans="1:3" ht="15.75" thickBot="1">
      <c r="A22" s="4" t="s">
        <v>183</v>
      </c>
      <c r="B22" s="5" t="s">
        <v>159</v>
      </c>
      <c r="C22" s="5" t="s">
        <v>176</v>
      </c>
    </row>
    <row r="23" spans="1:3">
      <c r="A23" s="4" t="s">
        <v>204</v>
      </c>
      <c r="B23" s="5" t="s">
        <v>36</v>
      </c>
      <c r="C23" s="5" t="s">
        <v>205</v>
      </c>
    </row>
    <row r="24" spans="1:3">
      <c r="A24" s="4" t="s">
        <v>187</v>
      </c>
      <c r="B24" s="5" t="s">
        <v>38</v>
      </c>
      <c r="C24" s="5" t="s">
        <v>206</v>
      </c>
    </row>
    <row r="25" spans="1:3">
      <c r="A25" s="4" t="s">
        <v>192</v>
      </c>
      <c r="B25" s="5" t="s">
        <v>40</v>
      </c>
      <c r="C25" s="5" t="s">
        <v>207</v>
      </c>
    </row>
    <row r="26" spans="1:3" ht="30">
      <c r="A26" s="4" t="s">
        <v>208</v>
      </c>
      <c r="B26" s="5" t="s">
        <v>209</v>
      </c>
      <c r="C26" s="5" t="s">
        <v>210</v>
      </c>
    </row>
    <row r="27" spans="1:3" ht="15.75" thickBot="1">
      <c r="A27" s="4" t="s">
        <v>211</v>
      </c>
      <c r="B27" s="5" t="s">
        <v>212</v>
      </c>
      <c r="C27" s="5" t="s">
        <v>213</v>
      </c>
    </row>
    <row r="28" spans="1:3" ht="15.75" thickBot="1">
      <c r="A28" s="4" t="s">
        <v>214</v>
      </c>
      <c r="B28" s="5" t="s">
        <v>215</v>
      </c>
      <c r="C28" s="5" t="s">
        <v>216</v>
      </c>
    </row>
    <row r="29" spans="1:3">
      <c r="A29" s="113" t="s">
        <v>217</v>
      </c>
      <c r="B29" s="113" t="s">
        <v>218</v>
      </c>
      <c r="C29" s="8" t="s">
        <v>219</v>
      </c>
    </row>
    <row r="30" spans="1:3">
      <c r="A30" s="114"/>
      <c r="B30" s="114"/>
      <c r="C30" s="8"/>
    </row>
    <row r="31" spans="1:3" ht="30">
      <c r="A31" s="114"/>
      <c r="B31" s="114"/>
      <c r="C31" s="8" t="s">
        <v>220</v>
      </c>
    </row>
    <row r="32" spans="1:3">
      <c r="A32" s="114"/>
      <c r="B32" s="114"/>
      <c r="C32" s="8"/>
    </row>
    <row r="33" spans="1:3" ht="30.75" thickBot="1">
      <c r="A33" s="115"/>
      <c r="B33" s="115"/>
      <c r="C33" s="5" t="s">
        <v>221</v>
      </c>
    </row>
    <row r="34" spans="1:3" ht="90.75" customHeight="1" thickBot="1">
      <c r="A34" s="117" t="s">
        <v>222</v>
      </c>
      <c r="B34" s="118"/>
      <c r="C34" s="119"/>
    </row>
    <row r="35" spans="1:3">
      <c r="A35" s="113" t="s">
        <v>223</v>
      </c>
      <c r="B35" s="113" t="s">
        <v>224</v>
      </c>
      <c r="C35" s="8" t="s">
        <v>225</v>
      </c>
    </row>
    <row r="36" spans="1:3">
      <c r="A36" s="114"/>
      <c r="B36" s="114"/>
      <c r="C36" s="8"/>
    </row>
    <row r="37" spans="1:3" ht="15.75" thickBot="1">
      <c r="A37" s="115"/>
      <c r="B37" s="115"/>
      <c r="C37" s="5"/>
    </row>
    <row r="38" spans="1:3" ht="30.75" thickBot="1">
      <c r="A38" s="4" t="s">
        <v>226</v>
      </c>
      <c r="B38" s="5" t="s">
        <v>51</v>
      </c>
      <c r="C38" s="5" t="s">
        <v>227</v>
      </c>
    </row>
    <row r="39" spans="1:3" ht="30.75" thickBot="1">
      <c r="A39" s="4" t="s">
        <v>228</v>
      </c>
      <c r="B39" s="5" t="s">
        <v>52</v>
      </c>
      <c r="C39" s="5" t="s">
        <v>229</v>
      </c>
    </row>
    <row r="40" spans="1:3" ht="15.75" thickBot="1">
      <c r="A40" s="4" t="s">
        <v>230</v>
      </c>
      <c r="B40" s="5" t="s">
        <v>53</v>
      </c>
      <c r="C40" s="5" t="s">
        <v>231</v>
      </c>
    </row>
    <row r="41" spans="1:3" ht="15.75" thickBot="1">
      <c r="A41" s="4" t="s">
        <v>232</v>
      </c>
      <c r="B41" s="5" t="s">
        <v>233</v>
      </c>
      <c r="C41" s="5" t="s">
        <v>234</v>
      </c>
    </row>
    <row r="42" spans="1:3" ht="30.75" thickBot="1">
      <c r="A42" s="4" t="s">
        <v>235</v>
      </c>
      <c r="B42" s="5" t="s">
        <v>55</v>
      </c>
      <c r="C42" s="5" t="s">
        <v>236</v>
      </c>
    </row>
    <row r="43" spans="1:3" ht="30">
      <c r="A43" s="4" t="s">
        <v>237</v>
      </c>
      <c r="B43" s="5" t="s">
        <v>238</v>
      </c>
      <c r="C43" s="5" t="s">
        <v>239</v>
      </c>
    </row>
    <row r="44" spans="1:3" ht="30">
      <c r="A44" s="4" t="s">
        <v>240</v>
      </c>
      <c r="B44" s="5" t="s">
        <v>61</v>
      </c>
      <c r="C44" s="5" t="s">
        <v>241</v>
      </c>
    </row>
    <row r="45" spans="1:3" ht="30">
      <c r="A45" s="4" t="s">
        <v>242</v>
      </c>
      <c r="B45" s="5" t="s">
        <v>62</v>
      </c>
      <c r="C45" s="5" t="s">
        <v>243</v>
      </c>
    </row>
    <row r="46" spans="1:3" ht="30.75" thickBot="1">
      <c r="A46" s="4" t="s">
        <v>244</v>
      </c>
      <c r="B46" s="5" t="s">
        <v>63</v>
      </c>
      <c r="C46" s="5" t="s">
        <v>245</v>
      </c>
    </row>
    <row r="47" spans="1:3">
      <c r="A47" s="85"/>
      <c r="B47" s="85"/>
      <c r="C47" s="85"/>
    </row>
    <row r="48" spans="1:3" ht="350.25" customHeight="1">
      <c r="A48" s="116" t="s">
        <v>246</v>
      </c>
      <c r="B48" s="116"/>
      <c r="C48" s="116"/>
    </row>
    <row r="49" spans="1:3" ht="15.75" thickBot="1"/>
    <row r="50" spans="1:3" ht="15.75" thickBot="1">
      <c r="A50" s="31" t="s">
        <v>247</v>
      </c>
      <c r="B50" s="32"/>
      <c r="C50" s="32"/>
    </row>
    <row r="51" spans="1:3" ht="15.75" thickBot="1">
      <c r="A51" s="4" t="s">
        <v>183</v>
      </c>
      <c r="B51" s="5" t="s">
        <v>159</v>
      </c>
      <c r="C51" s="5" t="s">
        <v>176</v>
      </c>
    </row>
    <row r="52" spans="1:3" ht="15.75" thickBot="1">
      <c r="A52" s="4" t="s">
        <v>204</v>
      </c>
      <c r="B52" s="5" t="s">
        <v>248</v>
      </c>
      <c r="C52" s="5" t="s">
        <v>249</v>
      </c>
    </row>
    <row r="53" spans="1:3" ht="15.75" thickBot="1">
      <c r="A53" s="4" t="s">
        <v>187</v>
      </c>
      <c r="B53" s="5" t="s">
        <v>40</v>
      </c>
      <c r="C53" s="5" t="s">
        <v>207</v>
      </c>
    </row>
    <row r="54" spans="1:3" ht="30.75" thickBot="1">
      <c r="A54" s="4" t="s">
        <v>250</v>
      </c>
      <c r="B54" s="5" t="s">
        <v>209</v>
      </c>
      <c r="C54" s="5" t="s">
        <v>251</v>
      </c>
    </row>
    <row r="55" spans="1:3" ht="30.75" thickBot="1">
      <c r="A55" s="4" t="s">
        <v>252</v>
      </c>
      <c r="B55" s="5" t="s">
        <v>212</v>
      </c>
      <c r="C55" s="5" t="s">
        <v>253</v>
      </c>
    </row>
    <row r="56" spans="1:3">
      <c r="A56" s="4" t="s">
        <v>254</v>
      </c>
      <c r="B56" s="5" t="s">
        <v>255</v>
      </c>
      <c r="C56" s="5" t="s">
        <v>256</v>
      </c>
    </row>
    <row r="57" spans="1:3" ht="45.75" thickBot="1">
      <c r="A57" s="4" t="s">
        <v>257</v>
      </c>
      <c r="B57" s="5" t="s">
        <v>258</v>
      </c>
      <c r="C57" s="5" t="s">
        <v>259</v>
      </c>
    </row>
    <row r="58" spans="1:3" ht="30.75" thickBot="1">
      <c r="A58" s="4" t="s">
        <v>260</v>
      </c>
      <c r="B58" s="5" t="s">
        <v>38</v>
      </c>
      <c r="C58" s="5" t="s">
        <v>261</v>
      </c>
    </row>
    <row r="59" spans="1:3" ht="75.75" customHeight="1" thickBot="1">
      <c r="A59" s="117" t="s">
        <v>262</v>
      </c>
      <c r="B59" s="118"/>
      <c r="C59" s="119"/>
    </row>
    <row r="60" spans="1:3" ht="15.75" thickBot="1">
      <c r="A60" s="4" t="s">
        <v>263</v>
      </c>
      <c r="B60" s="5" t="s">
        <v>215</v>
      </c>
      <c r="C60" s="5" t="s">
        <v>264</v>
      </c>
    </row>
    <row r="61" spans="1:3">
      <c r="A61" s="113" t="s">
        <v>265</v>
      </c>
      <c r="B61" s="113" t="s">
        <v>218</v>
      </c>
      <c r="C61" s="8" t="s">
        <v>219</v>
      </c>
    </row>
    <row r="62" spans="1:3">
      <c r="A62" s="114"/>
      <c r="B62" s="114"/>
      <c r="C62" s="8"/>
    </row>
    <row r="63" spans="1:3" ht="30">
      <c r="A63" s="114"/>
      <c r="B63" s="114"/>
      <c r="C63" s="8" t="s">
        <v>220</v>
      </c>
    </row>
    <row r="64" spans="1:3">
      <c r="A64" s="114"/>
      <c r="B64" s="114"/>
      <c r="C64" s="8"/>
    </row>
    <row r="65" spans="1:3" ht="30.75" thickBot="1">
      <c r="A65" s="115"/>
      <c r="B65" s="115"/>
      <c r="C65" s="5" t="s">
        <v>266</v>
      </c>
    </row>
    <row r="66" spans="1:3" ht="105.75" customHeight="1" thickBot="1">
      <c r="A66" s="117" t="s">
        <v>267</v>
      </c>
      <c r="B66" s="118"/>
      <c r="C66" s="119"/>
    </row>
    <row r="67" spans="1:3">
      <c r="A67" s="113" t="s">
        <v>268</v>
      </c>
      <c r="B67" s="113" t="s">
        <v>224</v>
      </c>
      <c r="C67" s="8" t="s">
        <v>269</v>
      </c>
    </row>
    <row r="68" spans="1:3">
      <c r="A68" s="114"/>
      <c r="B68" s="114"/>
      <c r="C68" s="8"/>
    </row>
    <row r="69" spans="1:3" ht="15.75" thickBot="1">
      <c r="A69" s="115"/>
      <c r="B69" s="115"/>
      <c r="C69" s="5"/>
    </row>
    <row r="70" spans="1:3" ht="30.75" thickBot="1">
      <c r="A70" s="4" t="s">
        <v>270</v>
      </c>
      <c r="B70" s="5" t="s">
        <v>51</v>
      </c>
      <c r="C70" s="5" t="s">
        <v>227</v>
      </c>
    </row>
    <row r="71" spans="1:3" ht="30.75" thickBot="1">
      <c r="A71" s="4" t="s">
        <v>271</v>
      </c>
      <c r="B71" s="5" t="s">
        <v>52</v>
      </c>
      <c r="C71" s="5" t="s">
        <v>229</v>
      </c>
    </row>
    <row r="72" spans="1:3" ht="15.75" thickBot="1">
      <c r="A72" s="4" t="s">
        <v>272</v>
      </c>
      <c r="B72" s="5" t="s">
        <v>53</v>
      </c>
      <c r="C72" s="5" t="s">
        <v>231</v>
      </c>
    </row>
    <row r="73" spans="1:3" ht="15.75" thickBot="1">
      <c r="A73" s="4" t="s">
        <v>273</v>
      </c>
      <c r="B73" s="5" t="s">
        <v>233</v>
      </c>
      <c r="C73" s="5" t="s">
        <v>234</v>
      </c>
    </row>
    <row r="74" spans="1:3" ht="30.75" thickBot="1">
      <c r="A74" s="4" t="s">
        <v>274</v>
      </c>
      <c r="B74" s="5" t="s">
        <v>55</v>
      </c>
      <c r="C74" s="5" t="s">
        <v>236</v>
      </c>
    </row>
    <row r="75" spans="1:3" ht="30">
      <c r="A75" s="4" t="s">
        <v>275</v>
      </c>
      <c r="B75" s="5" t="s">
        <v>238</v>
      </c>
      <c r="C75" s="5" t="s">
        <v>276</v>
      </c>
    </row>
    <row r="76" spans="1:3" ht="30">
      <c r="A76" s="4" t="s">
        <v>277</v>
      </c>
      <c r="B76" s="5" t="s">
        <v>61</v>
      </c>
      <c r="C76" s="5" t="s">
        <v>241</v>
      </c>
    </row>
    <row r="77" spans="1:3" ht="30">
      <c r="A77" s="4" t="s">
        <v>278</v>
      </c>
      <c r="B77" s="5" t="s">
        <v>62</v>
      </c>
      <c r="C77" s="5" t="s">
        <v>279</v>
      </c>
    </row>
    <row r="78" spans="1:3" ht="30.75" thickBot="1">
      <c r="A78" s="4" t="s">
        <v>280</v>
      </c>
      <c r="B78" s="5" t="s">
        <v>63</v>
      </c>
      <c r="C78" s="5" t="s">
        <v>245</v>
      </c>
    </row>
    <row r="80" spans="1:3" ht="324" customHeight="1">
      <c r="A80" s="116" t="s">
        <v>246</v>
      </c>
      <c r="B80" s="116"/>
      <c r="C80" s="116"/>
    </row>
    <row r="81" spans="1:3" ht="15.75" thickBot="1"/>
    <row r="82" spans="1:3" ht="15.75" thickBot="1">
      <c r="A82" s="31" t="s">
        <v>281</v>
      </c>
      <c r="B82" s="32"/>
      <c r="C82" s="32"/>
    </row>
    <row r="83" spans="1:3" ht="15.75" thickBot="1">
      <c r="A83" s="4" t="s">
        <v>183</v>
      </c>
      <c r="B83" s="5" t="s">
        <v>159</v>
      </c>
      <c r="C83" s="5" t="s">
        <v>176</v>
      </c>
    </row>
    <row r="84" spans="1:3" ht="15.75" thickBot="1">
      <c r="A84" s="4" t="s">
        <v>282</v>
      </c>
      <c r="B84" s="5" t="s">
        <v>126</v>
      </c>
      <c r="C84" s="5" t="s">
        <v>283</v>
      </c>
    </row>
    <row r="85" spans="1:3" ht="15.75" thickBot="1">
      <c r="A85" s="4" t="s">
        <v>284</v>
      </c>
      <c r="B85" s="5" t="s">
        <v>40</v>
      </c>
      <c r="C85" s="5" t="s">
        <v>285</v>
      </c>
    </row>
    <row r="86" spans="1:3" ht="90.75" thickBot="1">
      <c r="A86" s="4" t="s">
        <v>286</v>
      </c>
      <c r="B86" s="5" t="s">
        <v>287</v>
      </c>
      <c r="C86" s="5" t="s">
        <v>288</v>
      </c>
    </row>
    <row r="87" spans="1:3" ht="135.75" thickBot="1">
      <c r="A87" s="4" t="s">
        <v>289</v>
      </c>
      <c r="B87" s="5" t="s">
        <v>290</v>
      </c>
      <c r="C87" s="5" t="s">
        <v>291</v>
      </c>
    </row>
    <row r="88" spans="1:3" ht="90.75" thickBot="1">
      <c r="A88" s="4" t="s">
        <v>292</v>
      </c>
      <c r="B88" s="5" t="s">
        <v>135</v>
      </c>
      <c r="C88" s="5" t="s">
        <v>293</v>
      </c>
    </row>
    <row r="89" spans="1:3" ht="30">
      <c r="A89" s="113" t="s">
        <v>294</v>
      </c>
      <c r="B89" s="113" t="s">
        <v>139</v>
      </c>
      <c r="C89" s="8" t="s">
        <v>295</v>
      </c>
    </row>
    <row r="90" spans="1:3" ht="30">
      <c r="A90" s="114"/>
      <c r="B90" s="114"/>
      <c r="C90" s="8" t="s">
        <v>296</v>
      </c>
    </row>
    <row r="91" spans="1:3" ht="30.75" thickBot="1">
      <c r="A91" s="115"/>
      <c r="B91" s="115"/>
      <c r="C91" s="5" t="s">
        <v>297</v>
      </c>
    </row>
    <row r="92" spans="1:3" ht="30">
      <c r="A92" s="113" t="s">
        <v>298</v>
      </c>
      <c r="B92" s="113" t="s">
        <v>143</v>
      </c>
      <c r="C92" s="8" t="s">
        <v>299</v>
      </c>
    </row>
    <row r="93" spans="1:3" ht="30">
      <c r="A93" s="114"/>
      <c r="B93" s="114"/>
      <c r="C93" s="8" t="s">
        <v>300</v>
      </c>
    </row>
    <row r="94" spans="1:3" ht="30.75" thickBot="1">
      <c r="A94" s="115"/>
      <c r="B94" s="115"/>
      <c r="C94" s="5" t="s">
        <v>301</v>
      </c>
    </row>
    <row r="95" spans="1:3" ht="30">
      <c r="A95" s="113" t="s">
        <v>302</v>
      </c>
      <c r="B95" s="113" t="s">
        <v>147</v>
      </c>
      <c r="C95" s="8" t="s">
        <v>303</v>
      </c>
    </row>
    <row r="96" spans="1:3" ht="30">
      <c r="A96" s="114"/>
      <c r="B96" s="114"/>
      <c r="C96" s="8" t="s">
        <v>304</v>
      </c>
    </row>
    <row r="97" spans="1:3" ht="30">
      <c r="A97" s="114"/>
      <c r="B97" s="114"/>
      <c r="C97" s="8" t="s">
        <v>305</v>
      </c>
    </row>
    <row r="98" spans="1:3" ht="75.75" thickBot="1">
      <c r="A98" s="114"/>
      <c r="B98" s="114"/>
      <c r="C98" s="5" t="s">
        <v>306</v>
      </c>
    </row>
    <row r="99" spans="1:3" ht="30">
      <c r="A99" s="113" t="s">
        <v>307</v>
      </c>
      <c r="B99" s="113" t="s">
        <v>151</v>
      </c>
      <c r="C99" s="8" t="s">
        <v>308</v>
      </c>
    </row>
    <row r="100" spans="1:3" ht="30">
      <c r="A100" s="114"/>
      <c r="B100" s="114"/>
      <c r="C100" s="8" t="s">
        <v>309</v>
      </c>
    </row>
    <row r="101" spans="1:3" ht="15.75" thickBot="1">
      <c r="A101" s="115"/>
      <c r="B101" s="115"/>
      <c r="C101" s="5" t="s">
        <v>310</v>
      </c>
    </row>
    <row r="102" spans="1:3" ht="15.75" thickBot="1"/>
    <row r="103" spans="1:3" ht="15.75" thickBot="1">
      <c r="A103" s="31" t="s">
        <v>311</v>
      </c>
      <c r="B103" s="32"/>
      <c r="C103" s="32"/>
    </row>
    <row r="104" spans="1:3" ht="15.75" thickBot="1">
      <c r="A104" s="4" t="s">
        <v>183</v>
      </c>
      <c r="B104" s="5" t="s">
        <v>159</v>
      </c>
      <c r="C104" s="5" t="s">
        <v>176</v>
      </c>
    </row>
    <row r="105" spans="1:3" ht="15.75" thickBot="1">
      <c r="A105" s="4" t="s">
        <v>189</v>
      </c>
      <c r="B105" s="5" t="s">
        <v>312</v>
      </c>
      <c r="C105" s="5" t="s">
        <v>313</v>
      </c>
    </row>
    <row r="106" spans="1:3" ht="15.75" thickBot="1">
      <c r="A106" s="4" t="s">
        <v>314</v>
      </c>
      <c r="B106" s="5" t="s">
        <v>315</v>
      </c>
      <c r="C106" s="5" t="s">
        <v>316</v>
      </c>
    </row>
    <row r="107" spans="1:3" ht="15.75" thickBot="1">
      <c r="A107" s="4" t="s">
        <v>317</v>
      </c>
      <c r="B107" s="5" t="s">
        <v>162</v>
      </c>
      <c r="C107" s="5" t="s">
        <v>318</v>
      </c>
    </row>
    <row r="108" spans="1:3" ht="15.75" thickBot="1">
      <c r="A108" s="4" t="s">
        <v>319</v>
      </c>
      <c r="B108" s="5" t="s">
        <v>163</v>
      </c>
      <c r="C108" s="5" t="s">
        <v>320</v>
      </c>
    </row>
    <row r="109" spans="1:3" ht="15.75" thickBot="1">
      <c r="A109" s="4" t="s">
        <v>321</v>
      </c>
      <c r="B109" s="5" t="s">
        <v>126</v>
      </c>
      <c r="C109" s="5" t="s">
        <v>322</v>
      </c>
    </row>
    <row r="110" spans="1:3" ht="15.75" thickBot="1">
      <c r="A110" s="4" t="s">
        <v>323</v>
      </c>
      <c r="B110" s="5" t="s">
        <v>169</v>
      </c>
      <c r="C110" s="5" t="s">
        <v>324</v>
      </c>
    </row>
    <row r="111" spans="1:3" ht="90.75" customHeight="1" thickBot="1">
      <c r="A111" s="117" t="s">
        <v>325</v>
      </c>
      <c r="B111" s="118"/>
      <c r="C111" s="119"/>
    </row>
    <row r="112" spans="1:3" ht="15.75" thickBot="1">
      <c r="A112" s="4" t="s">
        <v>326</v>
      </c>
      <c r="B112" s="5" t="s">
        <v>327</v>
      </c>
      <c r="C112" s="5" t="s">
        <v>328</v>
      </c>
    </row>
    <row r="113" spans="1:3" ht="75.75" thickBot="1">
      <c r="A113" s="4" t="s">
        <v>329</v>
      </c>
      <c r="B113" s="5" t="s">
        <v>330</v>
      </c>
      <c r="C113" s="5" t="s">
        <v>331</v>
      </c>
    </row>
    <row r="114" spans="1:3" ht="15.75" thickBot="1">
      <c r="A114" s="4" t="s">
        <v>332</v>
      </c>
      <c r="B114" s="5" t="s">
        <v>315</v>
      </c>
      <c r="C114" s="5" t="s">
        <v>333</v>
      </c>
    </row>
    <row r="115" spans="1:3" ht="15.75" thickBot="1">
      <c r="A115" s="4" t="s">
        <v>334</v>
      </c>
      <c r="B115" s="5" t="s">
        <v>162</v>
      </c>
      <c r="C115" s="5" t="s">
        <v>335</v>
      </c>
    </row>
    <row r="116" spans="1:3" ht="15.75" thickBot="1">
      <c r="A116" s="4" t="s">
        <v>336</v>
      </c>
      <c r="B116" s="5" t="s">
        <v>163</v>
      </c>
      <c r="C116" s="5" t="s">
        <v>320</v>
      </c>
    </row>
    <row r="117" spans="1:3" ht="15.75" thickBot="1">
      <c r="A117" s="4" t="s">
        <v>337</v>
      </c>
      <c r="B117" s="5" t="s">
        <v>126</v>
      </c>
      <c r="C117" s="5" t="s">
        <v>322</v>
      </c>
    </row>
  </sheetData>
  <sheetProtection algorithmName="SHA-512" hashValue="QYMICfr5glf2NvpXPH/ZmjlWQk8L5X1Tv7UHpdx2hVMwTKcTRhNnTcMLnTj/+NzOA+NkOpYjeJyfXYda0BRh4g==" saltValue="A4mBrb37jAztxX3aJlr1NA==" spinCount="100000" sheet="1" formatCells="0" formatColumns="0" formatRows="0" insertHyperlinks="0" sort="0" autoFilter="0" pivotTables="0"/>
  <mergeCells count="22">
    <mergeCell ref="A66:C66"/>
    <mergeCell ref="A111:C111"/>
    <mergeCell ref="A95:A98"/>
    <mergeCell ref="B95:B98"/>
    <mergeCell ref="A99:A101"/>
    <mergeCell ref="B99:B101"/>
    <mergeCell ref="A67:A69"/>
    <mergeCell ref="B67:B69"/>
    <mergeCell ref="A80:C80"/>
    <mergeCell ref="A89:A91"/>
    <mergeCell ref="B89:B91"/>
    <mergeCell ref="A92:A94"/>
    <mergeCell ref="B92:B94"/>
    <mergeCell ref="A29:A33"/>
    <mergeCell ref="B29:B33"/>
    <mergeCell ref="A35:A37"/>
    <mergeCell ref="B35:B37"/>
    <mergeCell ref="A61:A65"/>
    <mergeCell ref="B61:B65"/>
    <mergeCell ref="A48:C48"/>
    <mergeCell ref="A34:C34"/>
    <mergeCell ref="A59:C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G188"/>
  <sheetViews>
    <sheetView showGridLines="0" zoomScale="85" zoomScaleNormal="85" workbookViewId="0">
      <selection activeCell="J11" sqref="J11"/>
    </sheetView>
  </sheetViews>
  <sheetFormatPr defaultRowHeight="15"/>
  <cols>
    <col min="1" max="1" width="31.42578125" bestFit="1" customWidth="1"/>
    <col min="3" max="3" width="11.85546875" customWidth="1"/>
    <col min="4" max="4" width="18.5703125" customWidth="1"/>
    <col min="5" max="5" width="12.42578125" customWidth="1"/>
    <col min="6" max="6" width="22.5703125" customWidth="1"/>
    <col min="8" max="8" width="15.5703125" customWidth="1"/>
    <col min="9" max="9" width="15.85546875" customWidth="1"/>
    <col min="10" max="10" width="25.5703125" customWidth="1"/>
    <col min="11" max="11" width="11.5703125" customWidth="1"/>
    <col min="12" max="12" width="15.5703125" customWidth="1"/>
    <col min="13" max="13" width="10.85546875" customWidth="1"/>
    <col min="14" max="14" width="11.140625" customWidth="1"/>
    <col min="15" max="15" width="12.42578125" customWidth="1"/>
    <col min="16" max="16" width="11.42578125" customWidth="1"/>
    <col min="17" max="17" width="15.85546875" customWidth="1"/>
    <col min="20" max="20" width="20" bestFit="1" customWidth="1"/>
    <col min="21" max="21" width="12" bestFit="1" customWidth="1"/>
    <col min="22" max="22" width="24.140625" bestFit="1" customWidth="1"/>
    <col min="23" max="23" width="8.5703125" bestFit="1" customWidth="1"/>
    <col min="24" max="24" width="16" bestFit="1" customWidth="1"/>
    <col min="25" max="25" width="13.85546875" bestFit="1" customWidth="1"/>
    <col min="26" max="26" width="27.5703125" bestFit="1" customWidth="1"/>
    <col min="27" max="27" width="13.140625" bestFit="1" customWidth="1"/>
    <col min="28" max="28" width="15.42578125" bestFit="1" customWidth="1"/>
    <col min="29" max="30" width="11.5703125" bestFit="1" customWidth="1"/>
    <col min="31" max="31" width="13.140625" bestFit="1" customWidth="1"/>
    <col min="32" max="32" width="11.85546875" bestFit="1" customWidth="1"/>
    <col min="33" max="33" width="17.42578125" bestFit="1" customWidth="1"/>
  </cols>
  <sheetData>
    <row r="1" spans="1:33" s="18" customFormat="1">
      <c r="A1" s="18" t="str">
        <f>_xlfn.CONCAT("Reference - Population Estimates:"," ",IF('Cover Page'!$D$16="Enter SMC number (e.g, SMC 0000)","",'Cover Page'!$D$16)," ",IF('Cover Page'!$D$14="Enter generic name","",'Cover Page'!$D$14)," ",IF('Cover Page'!$D$15="Enter brand name","",_xlfn.CONCAT("(",'Cover Page'!$D$15,")")))</f>
        <v>Reference - Population Estimates: SMC123# Empagumab (EXAMPLEBRANDNAME)</v>
      </c>
    </row>
    <row r="2" spans="1:33">
      <c r="T2" s="9" t="s">
        <v>338</v>
      </c>
    </row>
    <row r="3" spans="1:33">
      <c r="A3" s="35" t="s">
        <v>339</v>
      </c>
      <c r="B3" s="35" t="s">
        <v>340</v>
      </c>
      <c r="C3" s="43" t="s">
        <v>341</v>
      </c>
      <c r="D3" s="44" t="s">
        <v>342</v>
      </c>
      <c r="E3" s="44" t="s">
        <v>343</v>
      </c>
      <c r="F3" s="44" t="s">
        <v>344</v>
      </c>
      <c r="G3" s="44" t="s">
        <v>345</v>
      </c>
      <c r="H3" s="44" t="s">
        <v>346</v>
      </c>
      <c r="I3" s="44" t="s">
        <v>347</v>
      </c>
      <c r="J3" s="44" t="s">
        <v>348</v>
      </c>
      <c r="K3" s="44" t="s">
        <v>349</v>
      </c>
      <c r="L3" s="44" t="s">
        <v>350</v>
      </c>
      <c r="M3" s="44" t="s">
        <v>351</v>
      </c>
      <c r="N3" s="44" t="s">
        <v>352</v>
      </c>
      <c r="O3" s="44" t="s">
        <v>353</v>
      </c>
      <c r="P3" s="44" t="s">
        <v>354</v>
      </c>
      <c r="Q3" s="44" t="s">
        <v>355</v>
      </c>
      <c r="T3" s="9" t="s">
        <v>342</v>
      </c>
      <c r="U3" s="9" t="s">
        <v>343</v>
      </c>
      <c r="V3" s="9" t="s">
        <v>344</v>
      </c>
      <c r="W3" s="9" t="s">
        <v>345</v>
      </c>
      <c r="X3" s="9" t="s">
        <v>346</v>
      </c>
      <c r="Y3" s="9" t="s">
        <v>347</v>
      </c>
      <c r="Z3" s="9" t="s">
        <v>348</v>
      </c>
      <c r="AA3" s="9" t="s">
        <v>349</v>
      </c>
      <c r="AB3" s="9" t="s">
        <v>350</v>
      </c>
      <c r="AC3" s="9" t="s">
        <v>351</v>
      </c>
      <c r="AD3" s="9" t="s">
        <v>352</v>
      </c>
      <c r="AE3" s="9" t="s">
        <v>353</v>
      </c>
      <c r="AF3" s="9" t="s">
        <v>354</v>
      </c>
      <c r="AG3" s="9" t="s">
        <v>355</v>
      </c>
    </row>
    <row r="4" spans="1:33">
      <c r="A4" s="36">
        <v>2022</v>
      </c>
      <c r="B4" s="36" t="s">
        <v>11</v>
      </c>
      <c r="C4" s="37">
        <v>5447700</v>
      </c>
      <c r="D4" s="38">
        <v>365440</v>
      </c>
      <c r="E4" s="38">
        <v>116820</v>
      </c>
      <c r="F4" s="38">
        <v>145770</v>
      </c>
      <c r="G4" s="38">
        <v>371340</v>
      </c>
      <c r="H4" s="38">
        <v>302730</v>
      </c>
      <c r="I4" s="38">
        <v>582220</v>
      </c>
      <c r="J4" s="38">
        <v>1179910</v>
      </c>
      <c r="K4" s="38">
        <v>323630</v>
      </c>
      <c r="L4" s="38">
        <v>668360</v>
      </c>
      <c r="M4" s="38">
        <v>906190</v>
      </c>
      <c r="N4" s="38">
        <v>22020</v>
      </c>
      <c r="O4" s="38">
        <v>23020</v>
      </c>
      <c r="P4" s="38">
        <v>414130</v>
      </c>
      <c r="Q4" s="38">
        <v>26120</v>
      </c>
      <c r="S4" t="s">
        <v>11</v>
      </c>
      <c r="T4" s="2">
        <f>D4/$C4</f>
        <v>6.7081520641738709E-2</v>
      </c>
      <c r="U4" s="2">
        <f>E4/$C4</f>
        <v>2.144391210969767E-2</v>
      </c>
      <c r="V4" s="2">
        <f t="shared" ref="V4:AG4" si="0">F4/$C4</f>
        <v>2.6758081392147144E-2</v>
      </c>
      <c r="W4" s="2">
        <f t="shared" si="0"/>
        <v>6.8164546505864856E-2</v>
      </c>
      <c r="X4" s="2">
        <f t="shared" si="0"/>
        <v>5.557024065201828E-2</v>
      </c>
      <c r="Y4" s="2">
        <f t="shared" si="0"/>
        <v>0.10687446078161426</v>
      </c>
      <c r="Z4" s="2">
        <f t="shared" si="0"/>
        <v>0.21658865209170844</v>
      </c>
      <c r="AA4" s="2">
        <f t="shared" si="0"/>
        <v>5.9406722102905811E-2</v>
      </c>
      <c r="AB4" s="2">
        <f t="shared" si="0"/>
        <v>0.12268663839785597</v>
      </c>
      <c r="AC4" s="2">
        <f t="shared" si="0"/>
        <v>0.16634359454448666</v>
      </c>
      <c r="AD4" s="2">
        <f t="shared" si="0"/>
        <v>4.0420728013657141E-3</v>
      </c>
      <c r="AE4" s="2">
        <f t="shared" si="0"/>
        <v>4.2256365071498062E-3</v>
      </c>
      <c r="AF4" s="2">
        <f t="shared" si="0"/>
        <v>7.6019237476366172E-2</v>
      </c>
      <c r="AG4" s="2">
        <f t="shared" si="0"/>
        <v>4.7946839950804929E-3</v>
      </c>
    </row>
    <row r="5" spans="1:33">
      <c r="A5" s="36">
        <f>$A$4</f>
        <v>2022</v>
      </c>
      <c r="B5" s="36">
        <v>0</v>
      </c>
      <c r="C5" s="37">
        <v>47186</v>
      </c>
      <c r="D5" s="38">
        <v>2859</v>
      </c>
      <c r="E5" s="38">
        <v>816</v>
      </c>
      <c r="F5" s="38">
        <v>1073</v>
      </c>
      <c r="G5" s="38">
        <v>3005</v>
      </c>
      <c r="H5" s="38">
        <v>2624</v>
      </c>
      <c r="I5" s="38">
        <v>5202</v>
      </c>
      <c r="J5" s="38">
        <v>10734</v>
      </c>
      <c r="K5" s="38">
        <v>2539</v>
      </c>
      <c r="L5" s="38">
        <v>6179</v>
      </c>
      <c r="M5" s="38">
        <v>8201</v>
      </c>
      <c r="N5" s="38">
        <v>166</v>
      </c>
      <c r="O5" s="38">
        <v>204</v>
      </c>
      <c r="P5" s="38">
        <v>3384</v>
      </c>
      <c r="Q5" s="38">
        <v>200</v>
      </c>
      <c r="S5">
        <v>0</v>
      </c>
      <c r="T5">
        <f t="shared" ref="T5:T68" si="1">D5/$C5</f>
        <v>6.059000551010893E-2</v>
      </c>
      <c r="U5">
        <f t="shared" ref="U5:U68" si="2">E5/$C5</f>
        <v>1.7293264951468656E-2</v>
      </c>
      <c r="V5">
        <f t="shared" ref="V5:V68" si="3">F5/$C5</f>
        <v>2.2739795702115033E-2</v>
      </c>
      <c r="W5">
        <f t="shared" ref="W5:W68" si="4">G5/$C5</f>
        <v>6.3684143601915821E-2</v>
      </c>
      <c r="X5">
        <f t="shared" ref="X5:X68" si="5">H5/$C5</f>
        <v>5.5609714745899208E-2</v>
      </c>
      <c r="Y5">
        <f t="shared" ref="Y5:Y68" si="6">I5/$C5</f>
        <v>0.11024456406561269</v>
      </c>
      <c r="Z5">
        <f t="shared" ref="Z5:Z68" si="7">J5/$C5</f>
        <v>0.22748272792777519</v>
      </c>
      <c r="AA5">
        <f t="shared" ref="AA5:AA68" si="8">K5/$C5</f>
        <v>5.3808332980121221E-2</v>
      </c>
      <c r="AB5">
        <f t="shared" ref="AB5:AB68" si="9">L5/$C5</f>
        <v>0.13094985800873141</v>
      </c>
      <c r="AC5">
        <f t="shared" ref="AC5:AC68" si="10">M5/$C5</f>
        <v>0.17380155130759123</v>
      </c>
      <c r="AD5">
        <f t="shared" ref="AD5:AD68" si="11">N5/$C5</f>
        <v>3.5179926249311235E-3</v>
      </c>
      <c r="AE5">
        <f t="shared" ref="AE5:AE68" si="12">O5/$C5</f>
        <v>4.3233162378671641E-3</v>
      </c>
      <c r="AF5">
        <f t="shared" ref="AF5:AF68" si="13">P5/$C5</f>
        <v>7.1716187004620013E-2</v>
      </c>
      <c r="AG5">
        <f t="shared" ref="AG5:AG68" si="14">Q5/$C5</f>
        <v>4.2385453312423172E-3</v>
      </c>
    </row>
    <row r="6" spans="1:33">
      <c r="A6" s="36">
        <f t="shared" ref="A6:A69" si="15">$A$4</f>
        <v>2022</v>
      </c>
      <c r="B6" s="36">
        <f>1+B5</f>
        <v>1</v>
      </c>
      <c r="C6" s="37">
        <v>47638</v>
      </c>
      <c r="D6" s="38">
        <v>2962</v>
      </c>
      <c r="E6" s="38">
        <v>891</v>
      </c>
      <c r="F6" s="38">
        <v>1133</v>
      </c>
      <c r="G6" s="38">
        <v>3083</v>
      </c>
      <c r="H6" s="38">
        <v>2565</v>
      </c>
      <c r="I6" s="38">
        <v>5224</v>
      </c>
      <c r="J6" s="38">
        <v>10588</v>
      </c>
      <c r="K6" s="38">
        <v>2475</v>
      </c>
      <c r="L6" s="38">
        <v>6380</v>
      </c>
      <c r="M6" s="38">
        <v>8392</v>
      </c>
      <c r="N6" s="38">
        <v>181</v>
      </c>
      <c r="O6" s="38">
        <v>176</v>
      </c>
      <c r="P6" s="38">
        <v>3414</v>
      </c>
      <c r="Q6" s="38">
        <v>174</v>
      </c>
      <c r="S6">
        <v>1</v>
      </c>
      <c r="T6">
        <f t="shared" si="1"/>
        <v>6.2177253453125657E-2</v>
      </c>
      <c r="U6">
        <f t="shared" si="2"/>
        <v>1.8703555984718082E-2</v>
      </c>
      <c r="V6">
        <f t="shared" si="3"/>
        <v>2.3783534153406945E-2</v>
      </c>
      <c r="W6">
        <f t="shared" si="4"/>
        <v>6.471724253747009E-2</v>
      </c>
      <c r="X6">
        <f t="shared" si="5"/>
        <v>5.3843570259036903E-2</v>
      </c>
      <c r="Y6">
        <f t="shared" si="6"/>
        <v>0.1096603551786389</v>
      </c>
      <c r="Z6">
        <f t="shared" si="7"/>
        <v>0.2222595407028003</v>
      </c>
      <c r="AA6">
        <f t="shared" si="8"/>
        <v>5.1954322179772451E-2</v>
      </c>
      <c r="AB6">
        <f t="shared" si="9"/>
        <v>0.13392669717452454</v>
      </c>
      <c r="AC6">
        <f t="shared" si="10"/>
        <v>0.17616188756874765</v>
      </c>
      <c r="AD6">
        <f t="shared" si="11"/>
        <v>3.799487803854066E-3</v>
      </c>
      <c r="AE6">
        <f t="shared" si="12"/>
        <v>3.6945295772282632E-3</v>
      </c>
      <c r="AF6">
        <f t="shared" si="13"/>
        <v>7.1665477140098244E-2</v>
      </c>
      <c r="AG6">
        <f t="shared" si="14"/>
        <v>3.6525462865779419E-3</v>
      </c>
    </row>
    <row r="7" spans="1:33">
      <c r="A7" s="36">
        <f t="shared" si="15"/>
        <v>2022</v>
      </c>
      <c r="B7" s="36">
        <f t="shared" ref="B7:B70" si="16">1+B6</f>
        <v>2</v>
      </c>
      <c r="C7" s="37">
        <v>49169</v>
      </c>
      <c r="D7" s="38">
        <v>3166</v>
      </c>
      <c r="E7" s="38">
        <v>979</v>
      </c>
      <c r="F7" s="38">
        <v>1152</v>
      </c>
      <c r="G7" s="38">
        <v>3381</v>
      </c>
      <c r="H7" s="38">
        <v>2559</v>
      </c>
      <c r="I7" s="38">
        <v>5551</v>
      </c>
      <c r="J7" s="38">
        <v>10866</v>
      </c>
      <c r="K7" s="38">
        <v>2578</v>
      </c>
      <c r="L7" s="38">
        <v>6355</v>
      </c>
      <c r="M7" s="38">
        <v>8306</v>
      </c>
      <c r="N7" s="38">
        <v>202</v>
      </c>
      <c r="O7" s="38">
        <v>200</v>
      </c>
      <c r="P7" s="38">
        <v>3677</v>
      </c>
      <c r="Q7" s="38">
        <v>197</v>
      </c>
      <c r="S7">
        <v>2</v>
      </c>
      <c r="T7">
        <f t="shared" si="1"/>
        <v>6.4390164534564462E-2</v>
      </c>
      <c r="U7">
        <f t="shared" si="2"/>
        <v>1.9910919481787304E-2</v>
      </c>
      <c r="V7">
        <f t="shared" si="3"/>
        <v>2.3429396571010189E-2</v>
      </c>
      <c r="W7">
        <f t="shared" si="4"/>
        <v>6.8762838373772089E-2</v>
      </c>
      <c r="X7">
        <f t="shared" si="5"/>
        <v>5.2044987695499194E-2</v>
      </c>
      <c r="Y7">
        <f t="shared" si="6"/>
        <v>0.112896337122984</v>
      </c>
      <c r="Z7">
        <f t="shared" si="7"/>
        <v>0.220992902031768</v>
      </c>
      <c r="AA7">
        <f t="shared" si="8"/>
        <v>5.2431410034778012E-2</v>
      </c>
      <c r="AB7">
        <f t="shared" si="9"/>
        <v>0.12924810347983484</v>
      </c>
      <c r="AC7">
        <f t="shared" si="10"/>
        <v>0.16892757631841201</v>
      </c>
      <c r="AD7">
        <f t="shared" si="11"/>
        <v>4.1082796070694948E-3</v>
      </c>
      <c r="AE7">
        <f t="shared" si="12"/>
        <v>4.067603571355936E-3</v>
      </c>
      <c r="AF7">
        <f t="shared" si="13"/>
        <v>7.4782891659378875E-2</v>
      </c>
      <c r="AG7">
        <f t="shared" si="14"/>
        <v>4.006589517785597E-3</v>
      </c>
    </row>
    <row r="8" spans="1:33">
      <c r="A8" s="36">
        <f t="shared" si="15"/>
        <v>2022</v>
      </c>
      <c r="B8" s="36">
        <f t="shared" si="16"/>
        <v>3</v>
      </c>
      <c r="C8" s="37">
        <v>52052</v>
      </c>
      <c r="D8" s="38">
        <v>3271</v>
      </c>
      <c r="E8" s="38">
        <v>989</v>
      </c>
      <c r="F8" s="38">
        <v>1269</v>
      </c>
      <c r="G8" s="38">
        <v>3582</v>
      </c>
      <c r="H8" s="38">
        <v>2857</v>
      </c>
      <c r="I8" s="38">
        <v>5918</v>
      </c>
      <c r="J8" s="38">
        <v>11590</v>
      </c>
      <c r="K8" s="38">
        <v>2795</v>
      </c>
      <c r="L8" s="38">
        <v>7011</v>
      </c>
      <c r="M8" s="38">
        <v>8568</v>
      </c>
      <c r="N8" s="38">
        <v>209</v>
      </c>
      <c r="O8" s="38">
        <v>239</v>
      </c>
      <c r="P8" s="38">
        <v>3533</v>
      </c>
      <c r="Q8" s="38">
        <v>221</v>
      </c>
      <c r="S8">
        <v>3</v>
      </c>
      <c r="T8">
        <f t="shared" si="1"/>
        <v>6.2841005148697462E-2</v>
      </c>
      <c r="U8">
        <f t="shared" si="2"/>
        <v>1.9000230538692077E-2</v>
      </c>
      <c r="V8">
        <f t="shared" si="3"/>
        <v>2.4379466687158995E-2</v>
      </c>
      <c r="W8">
        <f t="shared" si="4"/>
        <v>6.8815799585030354E-2</v>
      </c>
      <c r="X8">
        <f t="shared" si="5"/>
        <v>5.4887420272035657E-2</v>
      </c>
      <c r="Y8">
        <f t="shared" si="6"/>
        <v>0.11369399830938293</v>
      </c>
      <c r="Z8">
        <f t="shared" si="7"/>
        <v>0.2226619534311842</v>
      </c>
      <c r="AA8">
        <f t="shared" si="8"/>
        <v>5.3696303696303696E-2</v>
      </c>
      <c r="AB8">
        <f t="shared" si="9"/>
        <v>0.13469223084607701</v>
      </c>
      <c r="AC8">
        <f t="shared" si="10"/>
        <v>0.16460462614308768</v>
      </c>
      <c r="AD8">
        <f t="shared" si="11"/>
        <v>4.015215553677092E-3</v>
      </c>
      <c r="AE8">
        <f t="shared" si="12"/>
        <v>4.5915622838699766E-3</v>
      </c>
      <c r="AF8">
        <f t="shared" si="13"/>
        <v>6.7874433259048642E-2</v>
      </c>
      <c r="AG8">
        <f t="shared" si="14"/>
        <v>4.245754245754246E-3</v>
      </c>
    </row>
    <row r="9" spans="1:33">
      <c r="A9" s="36">
        <f t="shared" si="15"/>
        <v>2022</v>
      </c>
      <c r="B9" s="36">
        <f t="shared" si="16"/>
        <v>4</v>
      </c>
      <c r="C9" s="37">
        <v>51692</v>
      </c>
      <c r="D9" s="38">
        <v>3347</v>
      </c>
      <c r="E9" s="38">
        <v>998</v>
      </c>
      <c r="F9" s="38">
        <v>1259</v>
      </c>
      <c r="G9" s="38">
        <v>3426</v>
      </c>
      <c r="H9" s="38">
        <v>2899</v>
      </c>
      <c r="I9" s="38">
        <v>6140</v>
      </c>
      <c r="J9" s="38">
        <v>11126</v>
      </c>
      <c r="K9" s="38">
        <v>2780</v>
      </c>
      <c r="L9" s="38">
        <v>6687</v>
      </c>
      <c r="M9" s="38">
        <v>8731</v>
      </c>
      <c r="N9" s="38">
        <v>192</v>
      </c>
      <c r="O9" s="38">
        <v>225</v>
      </c>
      <c r="P9" s="38">
        <v>3663</v>
      </c>
      <c r="Q9" s="38">
        <v>219</v>
      </c>
      <c r="S9">
        <v>4</v>
      </c>
      <c r="T9">
        <f t="shared" si="1"/>
        <v>6.4748897314864967E-2</v>
      </c>
      <c r="U9">
        <f t="shared" si="2"/>
        <v>1.9306662539657973E-2</v>
      </c>
      <c r="V9">
        <f t="shared" si="3"/>
        <v>2.4355799736903196E-2</v>
      </c>
      <c r="W9">
        <f t="shared" si="4"/>
        <v>6.6277180221310836E-2</v>
      </c>
      <c r="X9">
        <f t="shared" si="5"/>
        <v>5.6082179060589647E-2</v>
      </c>
      <c r="Y9">
        <f t="shared" si="6"/>
        <v>0.11878046893136268</v>
      </c>
      <c r="Z9">
        <f t="shared" si="7"/>
        <v>0.21523640021666796</v>
      </c>
      <c r="AA9">
        <f t="shared" si="8"/>
        <v>5.3780082024297765E-2</v>
      </c>
      <c r="AB9">
        <f t="shared" si="9"/>
        <v>0.12936237715700688</v>
      </c>
      <c r="AC9">
        <f t="shared" si="10"/>
        <v>0.16890427919213805</v>
      </c>
      <c r="AD9">
        <f t="shared" si="11"/>
        <v>3.7143078232608527E-3</v>
      </c>
      <c r="AE9">
        <f t="shared" si="12"/>
        <v>4.3527044803838115E-3</v>
      </c>
      <c r="AF9">
        <f t="shared" si="13"/>
        <v>7.0862028940648455E-2</v>
      </c>
      <c r="AG9">
        <f t="shared" si="14"/>
        <v>4.23663236090691E-3</v>
      </c>
    </row>
    <row r="10" spans="1:33">
      <c r="A10" s="36">
        <f t="shared" si="15"/>
        <v>2022</v>
      </c>
      <c r="B10" s="36">
        <f t="shared" si="16"/>
        <v>5</v>
      </c>
      <c r="C10" s="37">
        <v>53328</v>
      </c>
      <c r="D10" s="38">
        <v>3372</v>
      </c>
      <c r="E10" s="38">
        <v>1062</v>
      </c>
      <c r="F10" s="38">
        <v>1251</v>
      </c>
      <c r="G10" s="38">
        <v>3642</v>
      </c>
      <c r="H10" s="38">
        <v>2887</v>
      </c>
      <c r="I10" s="38">
        <v>6024</v>
      </c>
      <c r="J10" s="38">
        <v>11540</v>
      </c>
      <c r="K10" s="38">
        <v>2806</v>
      </c>
      <c r="L10" s="38">
        <v>7094</v>
      </c>
      <c r="M10" s="38">
        <v>8923</v>
      </c>
      <c r="N10" s="38">
        <v>216</v>
      </c>
      <c r="O10" s="38">
        <v>257</v>
      </c>
      <c r="P10" s="38">
        <v>4008</v>
      </c>
      <c r="Q10" s="38">
        <v>246</v>
      </c>
      <c r="S10">
        <v>5</v>
      </c>
      <c r="T10">
        <f t="shared" si="1"/>
        <v>6.3231323132313236E-2</v>
      </c>
      <c r="U10">
        <f t="shared" si="2"/>
        <v>1.9914491449144915E-2</v>
      </c>
      <c r="V10">
        <f t="shared" si="3"/>
        <v>2.345859585958596E-2</v>
      </c>
      <c r="W10">
        <f t="shared" si="4"/>
        <v>6.8294329432943293E-2</v>
      </c>
      <c r="X10">
        <f t="shared" si="5"/>
        <v>5.4136663666366637E-2</v>
      </c>
      <c r="Y10">
        <f t="shared" si="6"/>
        <v>0.11296129612961296</v>
      </c>
      <c r="Z10">
        <f t="shared" si="7"/>
        <v>0.21639663966396638</v>
      </c>
      <c r="AA10">
        <f t="shared" si="8"/>
        <v>5.2617761776177621E-2</v>
      </c>
      <c r="AB10">
        <f t="shared" si="9"/>
        <v>0.13302580258025803</v>
      </c>
      <c r="AC10">
        <f t="shared" si="10"/>
        <v>0.16732298229822981</v>
      </c>
      <c r="AD10">
        <f t="shared" si="11"/>
        <v>4.0504050405040506E-3</v>
      </c>
      <c r="AE10">
        <f t="shared" si="12"/>
        <v>4.8192319231923188E-3</v>
      </c>
      <c r="AF10">
        <f t="shared" si="13"/>
        <v>7.5157515751575157E-2</v>
      </c>
      <c r="AG10">
        <f t="shared" si="14"/>
        <v>4.6129612961296126E-3</v>
      </c>
    </row>
    <row r="11" spans="1:33">
      <c r="A11" s="36">
        <f t="shared" si="15"/>
        <v>2022</v>
      </c>
      <c r="B11" s="36">
        <f t="shared" si="16"/>
        <v>6</v>
      </c>
      <c r="C11" s="37">
        <v>56033</v>
      </c>
      <c r="D11" s="38">
        <v>3736</v>
      </c>
      <c r="E11" s="38">
        <v>1157</v>
      </c>
      <c r="F11" s="38">
        <v>1391</v>
      </c>
      <c r="G11" s="38">
        <v>3602</v>
      </c>
      <c r="H11" s="38">
        <v>3139</v>
      </c>
      <c r="I11" s="38">
        <v>6629</v>
      </c>
      <c r="J11" s="38">
        <v>12274</v>
      </c>
      <c r="K11" s="38">
        <v>3178</v>
      </c>
      <c r="L11" s="38">
        <v>6893</v>
      </c>
      <c r="M11" s="38">
        <v>9372</v>
      </c>
      <c r="N11" s="38">
        <v>207</v>
      </c>
      <c r="O11" s="38">
        <v>261</v>
      </c>
      <c r="P11" s="38">
        <v>3937</v>
      </c>
      <c r="Q11" s="38">
        <v>257</v>
      </c>
      <c r="S11">
        <v>6</v>
      </c>
      <c r="T11">
        <f t="shared" si="1"/>
        <v>6.6674995092177822E-2</v>
      </c>
      <c r="U11">
        <f t="shared" si="2"/>
        <v>2.0648546392304536E-2</v>
      </c>
      <c r="V11">
        <f t="shared" si="3"/>
        <v>2.4824656898613316E-2</v>
      </c>
      <c r="W11">
        <f t="shared" si="4"/>
        <v>6.4283547195402704E-2</v>
      </c>
      <c r="X11">
        <f t="shared" si="5"/>
        <v>5.6020559313261831E-2</v>
      </c>
      <c r="Y11">
        <f t="shared" si="6"/>
        <v>0.11830528438598682</v>
      </c>
      <c r="Z11">
        <f t="shared" si="7"/>
        <v>0.21904948869416238</v>
      </c>
      <c r="AA11">
        <f t="shared" si="8"/>
        <v>5.6716577730979961E-2</v>
      </c>
      <c r="AB11">
        <f t="shared" si="9"/>
        <v>0.12301679367515571</v>
      </c>
      <c r="AC11">
        <f t="shared" si="10"/>
        <v>0.16725857976549532</v>
      </c>
      <c r="AD11">
        <f t="shared" si="11"/>
        <v>3.694251601734692E-3</v>
      </c>
      <c r="AE11">
        <f t="shared" si="12"/>
        <v>4.6579694108828725E-3</v>
      </c>
      <c r="AF11">
        <f t="shared" si="13"/>
        <v>7.0262166937340498E-2</v>
      </c>
      <c r="AG11">
        <f t="shared" si="14"/>
        <v>4.5865829065015263E-3</v>
      </c>
    </row>
    <row r="12" spans="1:33">
      <c r="A12" s="36">
        <f t="shared" si="15"/>
        <v>2022</v>
      </c>
      <c r="B12" s="36">
        <f t="shared" si="16"/>
        <v>7</v>
      </c>
      <c r="C12" s="37">
        <v>56668</v>
      </c>
      <c r="D12" s="38">
        <v>3829</v>
      </c>
      <c r="E12" s="38">
        <v>1093</v>
      </c>
      <c r="F12" s="38">
        <v>1345</v>
      </c>
      <c r="G12" s="38">
        <v>4073</v>
      </c>
      <c r="H12" s="38">
        <v>3095</v>
      </c>
      <c r="I12" s="38">
        <v>6296</v>
      </c>
      <c r="J12" s="38">
        <v>12028</v>
      </c>
      <c r="K12" s="38">
        <v>3288</v>
      </c>
      <c r="L12" s="38">
        <v>7483</v>
      </c>
      <c r="M12" s="38">
        <v>9339</v>
      </c>
      <c r="N12" s="38">
        <v>223</v>
      </c>
      <c r="O12" s="38">
        <v>253</v>
      </c>
      <c r="P12" s="38">
        <v>4097</v>
      </c>
      <c r="Q12" s="38">
        <v>226</v>
      </c>
      <c r="S12">
        <v>7</v>
      </c>
      <c r="T12">
        <f t="shared" si="1"/>
        <v>6.7568998376508788E-2</v>
      </c>
      <c r="U12">
        <f t="shared" si="2"/>
        <v>1.9287781463965554E-2</v>
      </c>
      <c r="V12">
        <f t="shared" si="3"/>
        <v>2.3734735653278747E-2</v>
      </c>
      <c r="W12">
        <f t="shared" si="4"/>
        <v>7.1874779416954901E-2</v>
      </c>
      <c r="X12">
        <f t="shared" si="5"/>
        <v>5.4616361967953699E-2</v>
      </c>
      <c r="Y12">
        <f t="shared" si="6"/>
        <v>0.11110326815839627</v>
      </c>
      <c r="Z12">
        <f t="shared" si="7"/>
        <v>0.21225382932166301</v>
      </c>
      <c r="AA12">
        <f t="shared" si="8"/>
        <v>5.802216418437213E-2</v>
      </c>
      <c r="AB12">
        <f t="shared" si="9"/>
        <v>0.13204983412155008</v>
      </c>
      <c r="AC12">
        <f t="shared" si="10"/>
        <v>0.16480200465871392</v>
      </c>
      <c r="AD12">
        <f t="shared" si="11"/>
        <v>3.9352015246700081E-3</v>
      </c>
      <c r="AE12">
        <f t="shared" si="12"/>
        <v>4.4646008329215781E-3</v>
      </c>
      <c r="AF12">
        <f t="shared" si="13"/>
        <v>7.2298298863556154E-2</v>
      </c>
      <c r="AG12">
        <f t="shared" si="14"/>
        <v>3.9881414554951648E-3</v>
      </c>
    </row>
    <row r="13" spans="1:33">
      <c r="A13" s="36">
        <f t="shared" si="15"/>
        <v>2022</v>
      </c>
      <c r="B13" s="36">
        <f t="shared" si="16"/>
        <v>8</v>
      </c>
      <c r="C13" s="37">
        <v>57287</v>
      </c>
      <c r="D13" s="38">
        <v>3708</v>
      </c>
      <c r="E13" s="38">
        <v>1238</v>
      </c>
      <c r="F13" s="38">
        <v>1355</v>
      </c>
      <c r="G13" s="38">
        <v>3976</v>
      </c>
      <c r="H13" s="38">
        <v>3151</v>
      </c>
      <c r="I13" s="38">
        <v>6540</v>
      </c>
      <c r="J13" s="38">
        <v>12314</v>
      </c>
      <c r="K13" s="38">
        <v>3141</v>
      </c>
      <c r="L13" s="38">
        <v>7176</v>
      </c>
      <c r="M13" s="38">
        <v>9626</v>
      </c>
      <c r="N13" s="38">
        <v>220</v>
      </c>
      <c r="O13" s="38">
        <v>266</v>
      </c>
      <c r="P13" s="38">
        <v>4291</v>
      </c>
      <c r="Q13" s="38">
        <v>285</v>
      </c>
      <c r="S13">
        <v>8</v>
      </c>
      <c r="T13">
        <f t="shared" si="1"/>
        <v>6.4726726831567369E-2</v>
      </c>
      <c r="U13">
        <f t="shared" si="2"/>
        <v>2.1610487545167315E-2</v>
      </c>
      <c r="V13">
        <f t="shared" si="3"/>
        <v>2.365283572189153E-2</v>
      </c>
      <c r="W13">
        <f t="shared" si="4"/>
        <v>6.9404926073978385E-2</v>
      </c>
      <c r="X13">
        <f t="shared" si="5"/>
        <v>5.500375303297432E-2</v>
      </c>
      <c r="Y13">
        <f t="shared" si="6"/>
        <v>0.11416202628868678</v>
      </c>
      <c r="Z13">
        <f t="shared" si="7"/>
        <v>0.21495278160839282</v>
      </c>
      <c r="AA13">
        <f t="shared" si="8"/>
        <v>5.4829193359750034E-2</v>
      </c>
      <c r="AB13">
        <f t="shared" si="9"/>
        <v>0.12526402150575175</v>
      </c>
      <c r="AC13">
        <f t="shared" si="10"/>
        <v>0.16803114144570322</v>
      </c>
      <c r="AD13">
        <f t="shared" si="11"/>
        <v>3.8403128109344179E-3</v>
      </c>
      <c r="AE13">
        <f t="shared" si="12"/>
        <v>4.6432873077661601E-3</v>
      </c>
      <c r="AF13">
        <f t="shared" si="13"/>
        <v>7.4903555780543585E-2</v>
      </c>
      <c r="AG13">
        <f t="shared" si="14"/>
        <v>4.9749506868923144E-3</v>
      </c>
    </row>
    <row r="14" spans="1:33">
      <c r="A14" s="36">
        <f t="shared" si="15"/>
        <v>2022</v>
      </c>
      <c r="B14" s="36">
        <f t="shared" si="16"/>
        <v>9</v>
      </c>
      <c r="C14" s="37">
        <v>58596</v>
      </c>
      <c r="D14" s="38">
        <v>3752</v>
      </c>
      <c r="E14" s="38">
        <v>1214</v>
      </c>
      <c r="F14" s="38">
        <v>1459</v>
      </c>
      <c r="G14" s="38">
        <v>4120</v>
      </c>
      <c r="H14" s="38">
        <v>3265</v>
      </c>
      <c r="I14" s="38">
        <v>6515</v>
      </c>
      <c r="J14" s="38">
        <v>12637</v>
      </c>
      <c r="K14" s="38">
        <v>3230</v>
      </c>
      <c r="L14" s="38">
        <v>7453</v>
      </c>
      <c r="M14" s="38">
        <v>9747</v>
      </c>
      <c r="N14" s="38">
        <v>240</v>
      </c>
      <c r="O14" s="38">
        <v>297</v>
      </c>
      <c r="P14" s="38">
        <v>4395</v>
      </c>
      <c r="Q14" s="38">
        <v>272</v>
      </c>
      <c r="S14">
        <v>9</v>
      </c>
      <c r="T14">
        <f t="shared" si="1"/>
        <v>6.4031674517031872E-2</v>
      </c>
      <c r="U14">
        <f t="shared" si="2"/>
        <v>2.0718137756843471E-2</v>
      </c>
      <c r="V14">
        <f t="shared" si="3"/>
        <v>2.4899310533142194E-2</v>
      </c>
      <c r="W14">
        <f t="shared" si="4"/>
        <v>7.0311966687145885E-2</v>
      </c>
      <c r="X14">
        <f t="shared" si="5"/>
        <v>5.5720526998429928E-2</v>
      </c>
      <c r="Y14">
        <f t="shared" si="6"/>
        <v>0.11118506382688238</v>
      </c>
      <c r="Z14">
        <f t="shared" si="7"/>
        <v>0.21566318520035496</v>
      </c>
      <c r="AA14">
        <f t="shared" si="8"/>
        <v>5.5123216601815822E-2</v>
      </c>
      <c r="AB14">
        <f t="shared" si="9"/>
        <v>0.12719298245614036</v>
      </c>
      <c r="AC14">
        <f t="shared" si="10"/>
        <v>0.16634241245136186</v>
      </c>
      <c r="AD14">
        <f t="shared" si="11"/>
        <v>4.0958427196395655E-3</v>
      </c>
      <c r="AE14">
        <f t="shared" si="12"/>
        <v>5.0686053655539624E-3</v>
      </c>
      <c r="AF14">
        <f t="shared" si="13"/>
        <v>7.500511980339955E-2</v>
      </c>
      <c r="AG14">
        <f t="shared" si="14"/>
        <v>4.6419550822581748E-3</v>
      </c>
    </row>
    <row r="15" spans="1:33">
      <c r="A15" s="36">
        <f t="shared" si="15"/>
        <v>2022</v>
      </c>
      <c r="B15" s="36">
        <f t="shared" si="16"/>
        <v>10</v>
      </c>
      <c r="C15" s="37">
        <v>60103</v>
      </c>
      <c r="D15" s="38">
        <v>4158</v>
      </c>
      <c r="E15" s="38">
        <v>1199</v>
      </c>
      <c r="F15" s="38">
        <v>1458</v>
      </c>
      <c r="G15" s="38">
        <v>4011</v>
      </c>
      <c r="H15" s="38">
        <v>3489</v>
      </c>
      <c r="I15" s="38">
        <v>6651</v>
      </c>
      <c r="J15" s="38">
        <v>12825</v>
      </c>
      <c r="K15" s="38">
        <v>3480</v>
      </c>
      <c r="L15" s="38">
        <v>7668</v>
      </c>
      <c r="M15" s="38">
        <v>9894</v>
      </c>
      <c r="N15" s="38">
        <v>223</v>
      </c>
      <c r="O15" s="38">
        <v>295</v>
      </c>
      <c r="P15" s="38">
        <v>4475</v>
      </c>
      <c r="Q15" s="38">
        <v>277</v>
      </c>
      <c r="S15">
        <v>10</v>
      </c>
      <c r="T15">
        <f t="shared" si="1"/>
        <v>6.9181238873267561E-2</v>
      </c>
      <c r="U15">
        <f t="shared" si="2"/>
        <v>1.9949087399963396E-2</v>
      </c>
      <c r="V15">
        <f t="shared" si="3"/>
        <v>2.4258356488028883E-2</v>
      </c>
      <c r="W15">
        <f t="shared" si="4"/>
        <v>6.6735437498960118E-2</v>
      </c>
      <c r="X15">
        <f t="shared" si="5"/>
        <v>5.8050346904480639E-2</v>
      </c>
      <c r="Y15">
        <f t="shared" si="6"/>
        <v>0.11066003360897127</v>
      </c>
      <c r="Z15">
        <f t="shared" si="7"/>
        <v>0.21338369132988369</v>
      </c>
      <c r="AA15">
        <f t="shared" si="8"/>
        <v>5.7900603963196511E-2</v>
      </c>
      <c r="AB15">
        <f t="shared" si="9"/>
        <v>0.12758098597407783</v>
      </c>
      <c r="AC15">
        <f t="shared" si="10"/>
        <v>0.16461740678501904</v>
      </c>
      <c r="AD15">
        <f t="shared" si="11"/>
        <v>3.7102973229289717E-3</v>
      </c>
      <c r="AE15">
        <f t="shared" si="12"/>
        <v>4.9082408532020033E-3</v>
      </c>
      <c r="AF15">
        <f t="shared" si="13"/>
        <v>7.4455518027386314E-2</v>
      </c>
      <c r="AG15">
        <f t="shared" si="14"/>
        <v>4.6087549706337457E-3</v>
      </c>
    </row>
    <row r="16" spans="1:33">
      <c r="A16" s="36">
        <f t="shared" si="15"/>
        <v>2022</v>
      </c>
      <c r="B16" s="36">
        <f t="shared" si="16"/>
        <v>11</v>
      </c>
      <c r="C16" s="37">
        <v>60725</v>
      </c>
      <c r="D16" s="38">
        <v>4178</v>
      </c>
      <c r="E16" s="38">
        <v>1313</v>
      </c>
      <c r="F16" s="38">
        <v>1559</v>
      </c>
      <c r="G16" s="38">
        <v>4448</v>
      </c>
      <c r="H16" s="38">
        <v>3492</v>
      </c>
      <c r="I16" s="38">
        <v>6691</v>
      </c>
      <c r="J16" s="38">
        <v>12852</v>
      </c>
      <c r="K16" s="38">
        <v>3399</v>
      </c>
      <c r="L16" s="38">
        <v>7671</v>
      </c>
      <c r="M16" s="38">
        <v>9802</v>
      </c>
      <c r="N16" s="38">
        <v>238</v>
      </c>
      <c r="O16" s="38">
        <v>304</v>
      </c>
      <c r="P16" s="38">
        <v>4511</v>
      </c>
      <c r="Q16" s="38">
        <v>267</v>
      </c>
      <c r="S16">
        <v>11</v>
      </c>
      <c r="T16">
        <f t="shared" si="1"/>
        <v>6.8801976121860842E-2</v>
      </c>
      <c r="U16">
        <f t="shared" si="2"/>
        <v>2.1622066694112804E-2</v>
      </c>
      <c r="V16">
        <f t="shared" si="3"/>
        <v>2.567311650885138E-2</v>
      </c>
      <c r="W16">
        <f t="shared" si="4"/>
        <v>7.3248250308769039E-2</v>
      </c>
      <c r="X16">
        <f t="shared" si="5"/>
        <v>5.7505146150679289E-2</v>
      </c>
      <c r="Y16">
        <f t="shared" si="6"/>
        <v>0.11018526142445451</v>
      </c>
      <c r="Z16">
        <f t="shared" si="7"/>
        <v>0.21164265129682996</v>
      </c>
      <c r="AA16">
        <f t="shared" si="8"/>
        <v>5.5973651708522025E-2</v>
      </c>
      <c r="AB16">
        <f t="shared" si="9"/>
        <v>0.12632358995471388</v>
      </c>
      <c r="AC16">
        <f t="shared" si="10"/>
        <v>0.16141622066694114</v>
      </c>
      <c r="AD16">
        <f t="shared" si="11"/>
        <v>3.9193083573487034E-3</v>
      </c>
      <c r="AE16">
        <f t="shared" si="12"/>
        <v>5.0061753808151501E-3</v>
      </c>
      <c r="AF16">
        <f t="shared" si="13"/>
        <v>7.4285714285714288E-2</v>
      </c>
      <c r="AG16">
        <f t="shared" si="14"/>
        <v>4.3968711403869903E-3</v>
      </c>
    </row>
    <row r="17" spans="1:33">
      <c r="A17" s="36">
        <f t="shared" si="15"/>
        <v>2022</v>
      </c>
      <c r="B17" s="36">
        <f t="shared" si="16"/>
        <v>12</v>
      </c>
      <c r="C17" s="37">
        <v>60860</v>
      </c>
      <c r="D17" s="38">
        <v>3997</v>
      </c>
      <c r="E17" s="38">
        <v>1248</v>
      </c>
      <c r="F17" s="38">
        <v>1593</v>
      </c>
      <c r="G17" s="38">
        <v>4350</v>
      </c>
      <c r="H17" s="38">
        <v>3581</v>
      </c>
      <c r="I17" s="38">
        <v>6802</v>
      </c>
      <c r="J17" s="38">
        <v>12824</v>
      </c>
      <c r="K17" s="38">
        <v>3527</v>
      </c>
      <c r="L17" s="38">
        <v>7935</v>
      </c>
      <c r="M17" s="38">
        <v>9707</v>
      </c>
      <c r="N17" s="38">
        <v>236</v>
      </c>
      <c r="O17" s="38">
        <v>302</v>
      </c>
      <c r="P17" s="38">
        <v>4501</v>
      </c>
      <c r="Q17" s="38">
        <v>257</v>
      </c>
      <c r="S17">
        <v>12</v>
      </c>
      <c r="T17">
        <f t="shared" si="1"/>
        <v>6.5675320407492604E-2</v>
      </c>
      <c r="U17">
        <f t="shared" si="2"/>
        <v>2.0506079526782781E-2</v>
      </c>
      <c r="V17">
        <f t="shared" si="3"/>
        <v>2.6174827472888598E-2</v>
      </c>
      <c r="W17">
        <f t="shared" si="4"/>
        <v>7.1475517581334205E-2</v>
      </c>
      <c r="X17">
        <f t="shared" si="5"/>
        <v>5.8839960565231678E-2</v>
      </c>
      <c r="Y17">
        <f t="shared" si="6"/>
        <v>0.11176470588235295</v>
      </c>
      <c r="Z17">
        <f t="shared" si="7"/>
        <v>0.21071311206046664</v>
      </c>
      <c r="AA17">
        <f t="shared" si="8"/>
        <v>5.7952678278015118E-2</v>
      </c>
      <c r="AB17">
        <f t="shared" si="9"/>
        <v>0.13038120276043377</v>
      </c>
      <c r="AC17">
        <f t="shared" si="10"/>
        <v>0.15949720670391063</v>
      </c>
      <c r="AD17">
        <f t="shared" si="11"/>
        <v>3.8777522182057182E-3</v>
      </c>
      <c r="AE17">
        <f t="shared" si="12"/>
        <v>4.962208347025961E-3</v>
      </c>
      <c r="AF17">
        <f t="shared" si="13"/>
        <v>7.3956621754847185E-2</v>
      </c>
      <c r="AG17">
        <f t="shared" si="14"/>
        <v>4.222806441012159E-3</v>
      </c>
    </row>
    <row r="18" spans="1:33">
      <c r="A18" s="36">
        <f t="shared" si="15"/>
        <v>2022</v>
      </c>
      <c r="B18" s="36">
        <f t="shared" si="16"/>
        <v>13</v>
      </c>
      <c r="C18" s="37">
        <v>60610</v>
      </c>
      <c r="D18" s="38">
        <v>4127</v>
      </c>
      <c r="E18" s="38">
        <v>1339</v>
      </c>
      <c r="F18" s="38">
        <v>1542</v>
      </c>
      <c r="G18" s="38">
        <v>4396</v>
      </c>
      <c r="H18" s="38">
        <v>3581</v>
      </c>
      <c r="I18" s="38">
        <v>6500</v>
      </c>
      <c r="J18" s="38">
        <v>12527</v>
      </c>
      <c r="K18" s="38">
        <v>3606</v>
      </c>
      <c r="L18" s="38">
        <v>7785</v>
      </c>
      <c r="M18" s="38">
        <v>9750</v>
      </c>
      <c r="N18" s="38">
        <v>252</v>
      </c>
      <c r="O18" s="38">
        <v>299</v>
      </c>
      <c r="P18" s="38">
        <v>4631</v>
      </c>
      <c r="Q18" s="38">
        <v>275</v>
      </c>
      <c r="S18">
        <v>13</v>
      </c>
      <c r="T18">
        <f t="shared" si="1"/>
        <v>6.8091074080184791E-2</v>
      </c>
      <c r="U18">
        <f t="shared" si="2"/>
        <v>2.2092064015838971E-2</v>
      </c>
      <c r="V18">
        <f t="shared" si="3"/>
        <v>2.5441346312489687E-2</v>
      </c>
      <c r="W18">
        <f t="shared" si="4"/>
        <v>7.2529285596436233E-2</v>
      </c>
      <c r="X18">
        <f t="shared" si="5"/>
        <v>5.9082659627124237E-2</v>
      </c>
      <c r="Y18">
        <f t="shared" si="6"/>
        <v>0.1072430292031018</v>
      </c>
      <c r="Z18">
        <f t="shared" si="7"/>
        <v>0.20668206566573172</v>
      </c>
      <c r="AA18">
        <f t="shared" si="8"/>
        <v>5.9495132816366939E-2</v>
      </c>
      <c r="AB18">
        <f t="shared" si="9"/>
        <v>0.12844415113017654</v>
      </c>
      <c r="AC18">
        <f t="shared" si="10"/>
        <v>0.1608645438046527</v>
      </c>
      <c r="AD18">
        <f t="shared" si="11"/>
        <v>4.1577297475664078E-3</v>
      </c>
      <c r="AE18">
        <f t="shared" si="12"/>
        <v>4.9331793433426826E-3</v>
      </c>
      <c r="AF18">
        <f t="shared" si="13"/>
        <v>7.6406533575317598E-2</v>
      </c>
      <c r="AG18">
        <f t="shared" si="14"/>
        <v>4.5372050816696917E-3</v>
      </c>
    </row>
    <row r="19" spans="1:33">
      <c r="A19" s="36">
        <f t="shared" si="15"/>
        <v>2022</v>
      </c>
      <c r="B19" s="36">
        <f t="shared" si="16"/>
        <v>14</v>
      </c>
      <c r="C19" s="37">
        <v>60968</v>
      </c>
      <c r="D19" s="38">
        <v>4079</v>
      </c>
      <c r="E19" s="38">
        <v>1312</v>
      </c>
      <c r="F19" s="38">
        <v>1627</v>
      </c>
      <c r="G19" s="38">
        <v>4369</v>
      </c>
      <c r="H19" s="38">
        <v>3614</v>
      </c>
      <c r="I19" s="38">
        <v>6550</v>
      </c>
      <c r="J19" s="38">
        <v>12689</v>
      </c>
      <c r="K19" s="38">
        <v>3522</v>
      </c>
      <c r="L19" s="38">
        <v>7962</v>
      </c>
      <c r="M19" s="38">
        <v>9766</v>
      </c>
      <c r="N19" s="38">
        <v>244</v>
      </c>
      <c r="O19" s="38">
        <v>279</v>
      </c>
      <c r="P19" s="38">
        <v>4682</v>
      </c>
      <c r="Q19" s="38">
        <v>273</v>
      </c>
      <c r="S19">
        <v>14</v>
      </c>
      <c r="T19">
        <f t="shared" si="1"/>
        <v>6.6903949612911698E-2</v>
      </c>
      <c r="U19">
        <f t="shared" si="2"/>
        <v>2.1519485631806848E-2</v>
      </c>
      <c r="V19">
        <f t="shared" si="3"/>
        <v>2.668613042907755E-2</v>
      </c>
      <c r="W19">
        <f t="shared" si="4"/>
        <v>7.1660543235795821E-2</v>
      </c>
      <c r="X19">
        <f t="shared" si="5"/>
        <v>5.9276997769321611E-2</v>
      </c>
      <c r="Y19">
        <f t="shared" si="6"/>
        <v>0.10743340768927963</v>
      </c>
      <c r="Z19">
        <f t="shared" si="7"/>
        <v>0.20812557407164414</v>
      </c>
      <c r="AA19">
        <f t="shared" si="8"/>
        <v>5.7768009447579059E-2</v>
      </c>
      <c r="AB19">
        <f t="shared" si="9"/>
        <v>0.13059309801863273</v>
      </c>
      <c r="AC19">
        <f t="shared" si="10"/>
        <v>0.16018239076236715</v>
      </c>
      <c r="AD19">
        <f t="shared" si="11"/>
        <v>4.0020994620128588E-3</v>
      </c>
      <c r="AE19">
        <f t="shared" si="12"/>
        <v>4.5761711061540478E-3</v>
      </c>
      <c r="AF19">
        <f t="shared" si="13"/>
        <v>7.6794383939115599E-2</v>
      </c>
      <c r="AG19">
        <f t="shared" si="14"/>
        <v>4.4777588243012732E-3</v>
      </c>
    </row>
    <row r="20" spans="1:33">
      <c r="A20" s="36">
        <f t="shared" si="15"/>
        <v>2022</v>
      </c>
      <c r="B20" s="36">
        <f t="shared" si="16"/>
        <v>15</v>
      </c>
      <c r="C20" s="37">
        <v>58977</v>
      </c>
      <c r="D20" s="38">
        <v>3951</v>
      </c>
      <c r="E20" s="38">
        <v>1278</v>
      </c>
      <c r="F20" s="38">
        <v>1630</v>
      </c>
      <c r="G20" s="38">
        <v>4157</v>
      </c>
      <c r="H20" s="38">
        <v>3613</v>
      </c>
      <c r="I20" s="38">
        <v>6351</v>
      </c>
      <c r="J20" s="38">
        <v>12101</v>
      </c>
      <c r="K20" s="38">
        <v>3419</v>
      </c>
      <c r="L20" s="38">
        <v>7621</v>
      </c>
      <c r="M20" s="38">
        <v>9440</v>
      </c>
      <c r="N20" s="38">
        <v>238</v>
      </c>
      <c r="O20" s="38">
        <v>301</v>
      </c>
      <c r="P20" s="38">
        <v>4567</v>
      </c>
      <c r="Q20" s="38">
        <v>310</v>
      </c>
      <c r="S20">
        <v>15</v>
      </c>
      <c r="T20">
        <f t="shared" si="1"/>
        <v>6.6992217305051116E-2</v>
      </c>
      <c r="U20">
        <f t="shared" si="2"/>
        <v>2.1669464367465283E-2</v>
      </c>
      <c r="V20">
        <f t="shared" si="3"/>
        <v>2.7637892737846958E-2</v>
      </c>
      <c r="W20">
        <f t="shared" si="4"/>
        <v>7.0485104362717668E-2</v>
      </c>
      <c r="X20">
        <f t="shared" si="5"/>
        <v>6.1261169608491449E-2</v>
      </c>
      <c r="Y20">
        <f t="shared" si="6"/>
        <v>0.10768604710310799</v>
      </c>
      <c r="Z20">
        <f t="shared" si="7"/>
        <v>0.20518168099428591</v>
      </c>
      <c r="AA20">
        <f t="shared" si="8"/>
        <v>5.797175169981518E-2</v>
      </c>
      <c r="AB20">
        <f t="shared" si="9"/>
        <v>0.12921986537124641</v>
      </c>
      <c r="AC20">
        <f t="shared" si="10"/>
        <v>0.16006239720569035</v>
      </c>
      <c r="AD20">
        <f t="shared" si="11"/>
        <v>4.0354714549739731E-3</v>
      </c>
      <c r="AE20">
        <f t="shared" si="12"/>
        <v>5.1036844871729659E-3</v>
      </c>
      <c r="AF20">
        <f t="shared" si="13"/>
        <v>7.7436966953219055E-2</v>
      </c>
      <c r="AG20">
        <f t="shared" si="14"/>
        <v>5.2562863489156791E-3</v>
      </c>
    </row>
    <row r="21" spans="1:33">
      <c r="A21" s="36">
        <f t="shared" si="15"/>
        <v>2022</v>
      </c>
      <c r="B21" s="36">
        <f t="shared" si="16"/>
        <v>16</v>
      </c>
      <c r="C21" s="37">
        <v>58352</v>
      </c>
      <c r="D21" s="38">
        <v>4082</v>
      </c>
      <c r="E21" s="38">
        <v>1274</v>
      </c>
      <c r="F21" s="38">
        <v>1649</v>
      </c>
      <c r="G21" s="38">
        <v>4144</v>
      </c>
      <c r="H21" s="38">
        <v>3474</v>
      </c>
      <c r="I21" s="38">
        <v>6233</v>
      </c>
      <c r="J21" s="38">
        <v>12030</v>
      </c>
      <c r="K21" s="38">
        <v>3453</v>
      </c>
      <c r="L21" s="38">
        <v>7722</v>
      </c>
      <c r="M21" s="38">
        <v>9144</v>
      </c>
      <c r="N21" s="38">
        <v>252</v>
      </c>
      <c r="O21" s="38">
        <v>314</v>
      </c>
      <c r="P21" s="38">
        <v>4307</v>
      </c>
      <c r="Q21" s="38">
        <v>274</v>
      </c>
      <c r="S21">
        <v>16</v>
      </c>
      <c r="T21">
        <f t="shared" si="1"/>
        <v>6.9954757334795725E-2</v>
      </c>
      <c r="U21">
        <f t="shared" si="2"/>
        <v>2.1833013435700575E-2</v>
      </c>
      <c r="V21">
        <f t="shared" si="3"/>
        <v>2.8259528379489991E-2</v>
      </c>
      <c r="W21">
        <f t="shared" si="4"/>
        <v>7.1017274472168906E-2</v>
      </c>
      <c r="X21">
        <f t="shared" si="5"/>
        <v>5.9535234439265151E-2</v>
      </c>
      <c r="Y21">
        <f t="shared" si="6"/>
        <v>0.10681724705237182</v>
      </c>
      <c r="Z21">
        <f t="shared" si="7"/>
        <v>0.20616259939676446</v>
      </c>
      <c r="AA21">
        <f t="shared" si="8"/>
        <v>5.9175349602412941E-2</v>
      </c>
      <c r="AB21">
        <f t="shared" si="9"/>
        <v>0.13233479572251167</v>
      </c>
      <c r="AC21">
        <f t="shared" si="10"/>
        <v>0.15670414038936112</v>
      </c>
      <c r="AD21">
        <f t="shared" si="11"/>
        <v>4.3186180422264877E-3</v>
      </c>
      <c r="AE21">
        <f t="shared" si="12"/>
        <v>5.3811351795996706E-3</v>
      </c>
      <c r="AF21">
        <f t="shared" si="13"/>
        <v>7.3810666301069375E-2</v>
      </c>
      <c r="AG21">
        <f t="shared" si="14"/>
        <v>4.6956402522621331E-3</v>
      </c>
    </row>
    <row r="22" spans="1:33">
      <c r="A22" s="36">
        <f t="shared" si="15"/>
        <v>2022</v>
      </c>
      <c r="B22" s="36">
        <f t="shared" si="16"/>
        <v>17</v>
      </c>
      <c r="C22" s="37">
        <v>55968</v>
      </c>
      <c r="D22" s="38">
        <v>3888</v>
      </c>
      <c r="E22" s="38">
        <v>1279</v>
      </c>
      <c r="F22" s="38">
        <v>1510</v>
      </c>
      <c r="G22" s="38">
        <v>3793</v>
      </c>
      <c r="H22" s="38">
        <v>3360</v>
      </c>
      <c r="I22" s="38">
        <v>5900</v>
      </c>
      <c r="J22" s="38">
        <v>11985</v>
      </c>
      <c r="K22" s="38">
        <v>3338</v>
      </c>
      <c r="L22" s="38">
        <v>7137</v>
      </c>
      <c r="M22" s="38">
        <v>8678</v>
      </c>
      <c r="N22" s="38">
        <v>212</v>
      </c>
      <c r="O22" s="38">
        <v>250</v>
      </c>
      <c r="P22" s="38">
        <v>4386</v>
      </c>
      <c r="Q22" s="38">
        <v>252</v>
      </c>
      <c r="S22">
        <v>17</v>
      </c>
      <c r="T22">
        <f t="shared" si="1"/>
        <v>6.9468267581475132E-2</v>
      </c>
      <c r="U22">
        <f t="shared" si="2"/>
        <v>2.2852344196683819E-2</v>
      </c>
      <c r="V22">
        <f t="shared" si="3"/>
        <v>2.6979702687249855E-2</v>
      </c>
      <c r="W22">
        <f t="shared" si="4"/>
        <v>6.7770869068038878E-2</v>
      </c>
      <c r="X22">
        <f t="shared" si="5"/>
        <v>6.0034305317324184E-2</v>
      </c>
      <c r="Y22">
        <f t="shared" si="6"/>
        <v>0.10541738136077759</v>
      </c>
      <c r="Z22">
        <f t="shared" si="7"/>
        <v>0.21414022298456262</v>
      </c>
      <c r="AA22">
        <f t="shared" si="8"/>
        <v>5.9641223556317895E-2</v>
      </c>
      <c r="AB22">
        <f t="shared" si="9"/>
        <v>0.12751929674099485</v>
      </c>
      <c r="AC22">
        <f t="shared" si="10"/>
        <v>0.15505288736420811</v>
      </c>
      <c r="AD22">
        <f t="shared" si="11"/>
        <v>3.787878787878788E-3</v>
      </c>
      <c r="AE22">
        <f t="shared" si="12"/>
        <v>4.4668381932532874E-3</v>
      </c>
      <c r="AF22">
        <f t="shared" si="13"/>
        <v>7.8366209262435677E-2</v>
      </c>
      <c r="AG22">
        <f t="shared" si="14"/>
        <v>4.5025728987993143E-3</v>
      </c>
    </row>
    <row r="23" spans="1:33">
      <c r="A23" s="36">
        <f t="shared" si="15"/>
        <v>2022</v>
      </c>
      <c r="B23" s="36">
        <f t="shared" si="16"/>
        <v>18</v>
      </c>
      <c r="C23" s="37">
        <v>59288</v>
      </c>
      <c r="D23" s="38">
        <v>3600</v>
      </c>
      <c r="E23" s="38">
        <v>1078</v>
      </c>
      <c r="F23" s="38">
        <v>1245</v>
      </c>
      <c r="G23" s="38">
        <v>4082</v>
      </c>
      <c r="H23" s="38">
        <v>3339</v>
      </c>
      <c r="I23" s="38">
        <v>6000</v>
      </c>
      <c r="J23" s="38">
        <v>13556</v>
      </c>
      <c r="K23" s="38">
        <v>3031</v>
      </c>
      <c r="L23" s="38">
        <v>7498</v>
      </c>
      <c r="M23" s="38">
        <v>10463</v>
      </c>
      <c r="N23" s="38">
        <v>189</v>
      </c>
      <c r="O23" s="38">
        <v>244</v>
      </c>
      <c r="P23" s="38">
        <v>4694</v>
      </c>
      <c r="Q23" s="38">
        <v>269</v>
      </c>
      <c r="S23">
        <v>18</v>
      </c>
      <c r="T23">
        <f t="shared" si="1"/>
        <v>6.0720550532991496E-2</v>
      </c>
      <c r="U23">
        <f t="shared" si="2"/>
        <v>1.8182431520712455E-2</v>
      </c>
      <c r="V23">
        <f t="shared" si="3"/>
        <v>2.0999190392659559E-2</v>
      </c>
      <c r="W23">
        <f t="shared" si="4"/>
        <v>6.8850357576575358E-2</v>
      </c>
      <c r="X23">
        <f t="shared" si="5"/>
        <v>5.6318310619349617E-2</v>
      </c>
      <c r="Y23">
        <f t="shared" si="6"/>
        <v>0.10120091755498584</v>
      </c>
      <c r="Z23">
        <f t="shared" si="7"/>
        <v>0.22864660639589798</v>
      </c>
      <c r="AA23">
        <f t="shared" si="8"/>
        <v>5.1123330184860344E-2</v>
      </c>
      <c r="AB23">
        <f t="shared" si="9"/>
        <v>0.1264674133045473</v>
      </c>
      <c r="AC23">
        <f t="shared" si="10"/>
        <v>0.17647753339630279</v>
      </c>
      <c r="AD23">
        <f t="shared" si="11"/>
        <v>3.1878289029820539E-3</v>
      </c>
      <c r="AE23">
        <f t="shared" si="12"/>
        <v>4.1155039805694238E-3</v>
      </c>
      <c r="AF23">
        <f t="shared" si="13"/>
        <v>7.9172851167183922E-2</v>
      </c>
      <c r="AG23">
        <f t="shared" si="14"/>
        <v>4.5371744703818651E-3</v>
      </c>
    </row>
    <row r="24" spans="1:33">
      <c r="A24" s="36">
        <f t="shared" si="15"/>
        <v>2022</v>
      </c>
      <c r="B24" s="36">
        <f t="shared" si="16"/>
        <v>19</v>
      </c>
      <c r="C24" s="37">
        <v>65882</v>
      </c>
      <c r="D24" s="38">
        <v>3450</v>
      </c>
      <c r="E24" s="38">
        <v>947</v>
      </c>
      <c r="F24" s="38">
        <v>1139</v>
      </c>
      <c r="G24" s="38">
        <v>4751</v>
      </c>
      <c r="H24" s="38">
        <v>3656</v>
      </c>
      <c r="I24" s="38">
        <v>7252</v>
      </c>
      <c r="J24" s="38">
        <v>16421</v>
      </c>
      <c r="K24" s="38">
        <v>2701</v>
      </c>
      <c r="L24" s="38">
        <v>6807</v>
      </c>
      <c r="M24" s="38">
        <v>12945</v>
      </c>
      <c r="N24" s="38">
        <v>151</v>
      </c>
      <c r="O24" s="38">
        <v>192</v>
      </c>
      <c r="P24" s="38">
        <v>5271</v>
      </c>
      <c r="Q24" s="38">
        <v>199</v>
      </c>
      <c r="S24">
        <v>19</v>
      </c>
      <c r="T24">
        <f t="shared" si="1"/>
        <v>5.2366351962599797E-2</v>
      </c>
      <c r="U24">
        <f t="shared" si="2"/>
        <v>1.4374184147415075E-2</v>
      </c>
      <c r="V24">
        <f t="shared" si="3"/>
        <v>1.7288485474029325E-2</v>
      </c>
      <c r="W24">
        <f t="shared" si="4"/>
        <v>7.2113779180959903E-2</v>
      </c>
      <c r="X24">
        <f t="shared" si="5"/>
        <v>5.5493154427613003E-2</v>
      </c>
      <c r="Y24">
        <f t="shared" si="6"/>
        <v>0.11007558969065906</v>
      </c>
      <c r="Z24">
        <f t="shared" si="7"/>
        <v>0.24924865668923227</v>
      </c>
      <c r="AA24">
        <f t="shared" si="8"/>
        <v>4.099754105825567E-2</v>
      </c>
      <c r="AB24">
        <f t="shared" si="9"/>
        <v>0.10332108922012082</v>
      </c>
      <c r="AC24">
        <f t="shared" si="10"/>
        <v>0.19648765975532012</v>
      </c>
      <c r="AD24">
        <f t="shared" si="11"/>
        <v>2.291976564160165E-3</v>
      </c>
      <c r="AE24">
        <f t="shared" si="12"/>
        <v>2.9143013266142498E-3</v>
      </c>
      <c r="AF24">
        <f t="shared" si="13"/>
        <v>8.0006678607206824E-2</v>
      </c>
      <c r="AG24">
        <f t="shared" si="14"/>
        <v>3.0205518958137277E-3</v>
      </c>
    </row>
    <row r="25" spans="1:33">
      <c r="A25" s="36">
        <f t="shared" si="15"/>
        <v>2022</v>
      </c>
      <c r="B25" s="36">
        <f t="shared" si="16"/>
        <v>20</v>
      </c>
      <c r="C25" s="37">
        <v>66099</v>
      </c>
      <c r="D25" s="38">
        <v>3384</v>
      </c>
      <c r="E25" s="38">
        <v>1000</v>
      </c>
      <c r="F25" s="38">
        <v>1107</v>
      </c>
      <c r="G25" s="38">
        <v>5491</v>
      </c>
      <c r="H25" s="38">
        <v>3583</v>
      </c>
      <c r="I25" s="38">
        <v>6456</v>
      </c>
      <c r="J25" s="38">
        <v>15806</v>
      </c>
      <c r="K25" s="38">
        <v>2743</v>
      </c>
      <c r="L25" s="38">
        <v>7145</v>
      </c>
      <c r="M25" s="38">
        <v>13569</v>
      </c>
      <c r="N25" s="38">
        <v>163</v>
      </c>
      <c r="O25" s="38">
        <v>170</v>
      </c>
      <c r="P25" s="38">
        <v>5331</v>
      </c>
      <c r="Q25" s="38">
        <v>151</v>
      </c>
      <c r="S25">
        <v>20</v>
      </c>
      <c r="T25">
        <f t="shared" si="1"/>
        <v>5.119593337266827E-2</v>
      </c>
      <c r="U25">
        <f t="shared" si="2"/>
        <v>1.5128821918637196E-2</v>
      </c>
      <c r="V25">
        <f t="shared" si="3"/>
        <v>1.6747605863931377E-2</v>
      </c>
      <c r="W25">
        <f t="shared" si="4"/>
        <v>8.3072361155236848E-2</v>
      </c>
      <c r="X25">
        <f t="shared" si="5"/>
        <v>5.4206568934477076E-2</v>
      </c>
      <c r="Y25">
        <f t="shared" si="6"/>
        <v>9.7671674306721731E-2</v>
      </c>
      <c r="Z25">
        <f t="shared" si="7"/>
        <v>0.23912615924597952</v>
      </c>
      <c r="AA25">
        <f t="shared" si="8"/>
        <v>4.1498358522821827E-2</v>
      </c>
      <c r="AB25">
        <f t="shared" si="9"/>
        <v>0.10809543260866276</v>
      </c>
      <c r="AC25">
        <f t="shared" si="10"/>
        <v>0.20528298461398811</v>
      </c>
      <c r="AD25">
        <f t="shared" si="11"/>
        <v>2.4659979727378631E-3</v>
      </c>
      <c r="AE25">
        <f t="shared" si="12"/>
        <v>2.5718997261683233E-3</v>
      </c>
      <c r="AF25">
        <f t="shared" si="13"/>
        <v>8.0651749648254889E-2</v>
      </c>
      <c r="AG25">
        <f t="shared" si="14"/>
        <v>2.2844521097142166E-3</v>
      </c>
    </row>
    <row r="26" spans="1:33">
      <c r="A26" s="36">
        <f t="shared" si="15"/>
        <v>2022</v>
      </c>
      <c r="B26" s="36">
        <f t="shared" si="16"/>
        <v>21</v>
      </c>
      <c r="C26" s="37">
        <v>67649</v>
      </c>
      <c r="D26" s="38">
        <v>3574</v>
      </c>
      <c r="E26" s="38">
        <v>930</v>
      </c>
      <c r="F26" s="38">
        <v>1169</v>
      </c>
      <c r="G26" s="38">
        <v>4866</v>
      </c>
      <c r="H26" s="38">
        <v>3920</v>
      </c>
      <c r="I26" s="38">
        <v>7189</v>
      </c>
      <c r="J26" s="38">
        <v>16480</v>
      </c>
      <c r="K26" s="38">
        <v>2736</v>
      </c>
      <c r="L26" s="38">
        <v>7133</v>
      </c>
      <c r="M26" s="38">
        <v>13632</v>
      </c>
      <c r="N26" s="38">
        <v>155</v>
      </c>
      <c r="O26" s="38">
        <v>178</v>
      </c>
      <c r="P26" s="38">
        <v>5503</v>
      </c>
      <c r="Q26" s="38">
        <v>184</v>
      </c>
      <c r="S26">
        <v>21</v>
      </c>
      <c r="T26">
        <f t="shared" si="1"/>
        <v>5.2831527443125546E-2</v>
      </c>
      <c r="U26">
        <f t="shared" si="2"/>
        <v>1.3747431595441175E-2</v>
      </c>
      <c r="V26">
        <f t="shared" si="3"/>
        <v>1.7280373693624444E-2</v>
      </c>
      <c r="W26">
        <f t="shared" si="4"/>
        <v>7.1930109831630923E-2</v>
      </c>
      <c r="X26">
        <f t="shared" si="5"/>
        <v>5.7946163284010109E-2</v>
      </c>
      <c r="Y26">
        <f t="shared" si="6"/>
        <v>0.10626912445121139</v>
      </c>
      <c r="Z26">
        <f t="shared" si="7"/>
        <v>0.2436104007450221</v>
      </c>
      <c r="AA26">
        <f t="shared" si="8"/>
        <v>4.0444056822717261E-2</v>
      </c>
      <c r="AB26">
        <f t="shared" si="9"/>
        <v>0.10544132211858269</v>
      </c>
      <c r="AC26">
        <f t="shared" si="10"/>
        <v>0.20151073925704741</v>
      </c>
      <c r="AD26">
        <f t="shared" si="11"/>
        <v>2.2912385992401958E-3</v>
      </c>
      <c r="AE26">
        <f t="shared" si="12"/>
        <v>2.6312288429984182E-3</v>
      </c>
      <c r="AF26">
        <f t="shared" si="13"/>
        <v>8.134636136528256E-2</v>
      </c>
      <c r="AG26">
        <f t="shared" si="14"/>
        <v>2.7199219500657805E-3</v>
      </c>
    </row>
    <row r="27" spans="1:33">
      <c r="A27" s="36">
        <f t="shared" si="15"/>
        <v>2022</v>
      </c>
      <c r="B27" s="36">
        <f t="shared" si="16"/>
        <v>22</v>
      </c>
      <c r="C27" s="37">
        <v>71085</v>
      </c>
      <c r="D27" s="38">
        <v>3690</v>
      </c>
      <c r="E27" s="38">
        <v>1033</v>
      </c>
      <c r="F27" s="38">
        <v>1256</v>
      </c>
      <c r="G27" s="38">
        <v>4795</v>
      </c>
      <c r="H27" s="38">
        <v>3739</v>
      </c>
      <c r="I27" s="38">
        <v>7193</v>
      </c>
      <c r="J27" s="38">
        <v>17736</v>
      </c>
      <c r="K27" s="38">
        <v>2982</v>
      </c>
      <c r="L27" s="38">
        <v>7665</v>
      </c>
      <c r="M27" s="38">
        <v>14813</v>
      </c>
      <c r="N27" s="38">
        <v>172</v>
      </c>
      <c r="O27" s="38">
        <v>234</v>
      </c>
      <c r="P27" s="38">
        <v>5591</v>
      </c>
      <c r="Q27" s="38">
        <v>186</v>
      </c>
      <c r="S27">
        <v>22</v>
      </c>
      <c r="T27">
        <f t="shared" si="1"/>
        <v>5.1909685587676724E-2</v>
      </c>
      <c r="U27">
        <f t="shared" si="2"/>
        <v>1.45318984314553E-2</v>
      </c>
      <c r="V27">
        <f t="shared" si="3"/>
        <v>1.7668987831469366E-2</v>
      </c>
      <c r="W27">
        <f t="shared" si="4"/>
        <v>6.7454455933037907E-2</v>
      </c>
      <c r="X27">
        <f t="shared" si="5"/>
        <v>5.2599001195751567E-2</v>
      </c>
      <c r="Y27">
        <f t="shared" si="6"/>
        <v>0.10118871773229232</v>
      </c>
      <c r="Z27">
        <f t="shared" si="7"/>
        <v>0.24950411479215023</v>
      </c>
      <c r="AA27">
        <f t="shared" si="8"/>
        <v>4.1949778434268836E-2</v>
      </c>
      <c r="AB27">
        <f t="shared" si="9"/>
        <v>0.10782865583456426</v>
      </c>
      <c r="AC27">
        <f t="shared" si="10"/>
        <v>0.20838432862066539</v>
      </c>
      <c r="AD27">
        <f t="shared" si="11"/>
        <v>2.4196384609973974E-3</v>
      </c>
      <c r="AE27">
        <f t="shared" si="12"/>
        <v>3.2918337201941336E-3</v>
      </c>
      <c r="AF27">
        <f t="shared" si="13"/>
        <v>7.8652317647886327E-2</v>
      </c>
      <c r="AG27">
        <f t="shared" si="14"/>
        <v>2.6165857775902091E-3</v>
      </c>
    </row>
    <row r="28" spans="1:33">
      <c r="A28" s="36">
        <f t="shared" si="15"/>
        <v>2022</v>
      </c>
      <c r="B28" s="36">
        <f t="shared" si="16"/>
        <v>23</v>
      </c>
      <c r="C28" s="37">
        <v>69391</v>
      </c>
      <c r="D28" s="38">
        <v>3539</v>
      </c>
      <c r="E28" s="38">
        <v>962</v>
      </c>
      <c r="F28" s="38">
        <v>1297</v>
      </c>
      <c r="G28" s="38">
        <v>4083</v>
      </c>
      <c r="H28" s="38">
        <v>3559</v>
      </c>
      <c r="I28" s="38">
        <v>6962</v>
      </c>
      <c r="J28" s="38">
        <v>18210</v>
      </c>
      <c r="K28" s="38">
        <v>2944</v>
      </c>
      <c r="L28" s="38">
        <v>7586</v>
      </c>
      <c r="M28" s="38">
        <v>14699</v>
      </c>
      <c r="N28" s="38">
        <v>189</v>
      </c>
      <c r="O28" s="38">
        <v>191</v>
      </c>
      <c r="P28" s="38">
        <v>4971</v>
      </c>
      <c r="Q28" s="38">
        <v>199</v>
      </c>
      <c r="S28">
        <v>23</v>
      </c>
      <c r="T28">
        <f t="shared" si="1"/>
        <v>5.1000850254355752E-2</v>
      </c>
      <c r="U28">
        <f t="shared" si="2"/>
        <v>1.3863469325993284E-2</v>
      </c>
      <c r="V28">
        <f t="shared" si="3"/>
        <v>1.8691184735772651E-2</v>
      </c>
      <c r="W28">
        <f t="shared" si="4"/>
        <v>5.8840483636206427E-2</v>
      </c>
      <c r="X28">
        <f t="shared" si="5"/>
        <v>5.1289072069864966E-2</v>
      </c>
      <c r="Y28">
        <f t="shared" si="6"/>
        <v>0.10033001397875806</v>
      </c>
      <c r="Z28">
        <f t="shared" si="7"/>
        <v>0.26242596302114107</v>
      </c>
      <c r="AA28">
        <f t="shared" si="8"/>
        <v>4.2426251242956577E-2</v>
      </c>
      <c r="AB28">
        <f t="shared" si="9"/>
        <v>0.10932253462264559</v>
      </c>
      <c r="AC28">
        <f t="shared" si="10"/>
        <v>0.21182862330849822</v>
      </c>
      <c r="AD28">
        <f t="shared" si="11"/>
        <v>2.7236961565620904E-3</v>
      </c>
      <c r="AE28">
        <f t="shared" si="12"/>
        <v>2.7525183381130118E-3</v>
      </c>
      <c r="AF28">
        <f t="shared" si="13"/>
        <v>7.1637532244815616E-2</v>
      </c>
      <c r="AG28">
        <f t="shared" si="14"/>
        <v>2.8678070643166982E-3</v>
      </c>
    </row>
    <row r="29" spans="1:33">
      <c r="A29" s="36">
        <f t="shared" si="15"/>
        <v>2022</v>
      </c>
      <c r="B29" s="36">
        <f t="shared" si="16"/>
        <v>24</v>
      </c>
      <c r="C29" s="37">
        <v>67147</v>
      </c>
      <c r="D29" s="38">
        <v>3565</v>
      </c>
      <c r="E29" s="38">
        <v>953</v>
      </c>
      <c r="F29" s="38">
        <v>1360</v>
      </c>
      <c r="G29" s="38">
        <v>3922</v>
      </c>
      <c r="H29" s="38">
        <v>3318</v>
      </c>
      <c r="I29" s="38">
        <v>6483</v>
      </c>
      <c r="J29" s="38">
        <v>18392</v>
      </c>
      <c r="K29" s="38">
        <v>3036</v>
      </c>
      <c r="L29" s="38">
        <v>7343</v>
      </c>
      <c r="M29" s="38">
        <v>13305</v>
      </c>
      <c r="N29" s="38">
        <v>175</v>
      </c>
      <c r="O29" s="38">
        <v>229</v>
      </c>
      <c r="P29" s="38">
        <v>4890</v>
      </c>
      <c r="Q29" s="38">
        <v>176</v>
      </c>
      <c r="S29">
        <v>24</v>
      </c>
      <c r="T29">
        <f t="shared" si="1"/>
        <v>5.3092468762565716E-2</v>
      </c>
      <c r="U29">
        <f t="shared" si="2"/>
        <v>1.4192741298941129E-2</v>
      </c>
      <c r="V29">
        <f t="shared" si="3"/>
        <v>2.0254069429758589E-2</v>
      </c>
      <c r="W29">
        <f t="shared" si="4"/>
        <v>5.8409161987877344E-2</v>
      </c>
      <c r="X29">
        <f t="shared" si="5"/>
        <v>4.9413972329366909E-2</v>
      </c>
      <c r="Y29">
        <f t="shared" si="6"/>
        <v>9.6549361847885984E-2</v>
      </c>
      <c r="Z29">
        <f t="shared" si="7"/>
        <v>0.27390650364126468</v>
      </c>
      <c r="AA29">
        <f t="shared" si="8"/>
        <v>4.5214231462314028E-2</v>
      </c>
      <c r="AB29">
        <f t="shared" si="9"/>
        <v>0.10935708222258626</v>
      </c>
      <c r="AC29">
        <f t="shared" si="10"/>
        <v>0.1981473483551015</v>
      </c>
      <c r="AD29">
        <f t="shared" si="11"/>
        <v>2.6062221692704068E-3</v>
      </c>
      <c r="AE29">
        <f t="shared" si="12"/>
        <v>3.4104278672167036E-3</v>
      </c>
      <c r="AF29">
        <f t="shared" si="13"/>
        <v>7.2825293758470216E-2</v>
      </c>
      <c r="AG29">
        <f t="shared" si="14"/>
        <v>2.6211148673805232E-3</v>
      </c>
    </row>
    <row r="30" spans="1:33">
      <c r="A30" s="36">
        <f t="shared" si="15"/>
        <v>2022</v>
      </c>
      <c r="B30" s="36">
        <f t="shared" si="16"/>
        <v>25</v>
      </c>
      <c r="C30" s="37">
        <v>67927</v>
      </c>
      <c r="D30" s="38">
        <v>3682</v>
      </c>
      <c r="E30" s="38">
        <v>1003</v>
      </c>
      <c r="F30" s="38">
        <v>1342</v>
      </c>
      <c r="G30" s="38">
        <v>3889</v>
      </c>
      <c r="H30" s="38">
        <v>3432</v>
      </c>
      <c r="I30" s="38">
        <v>6929</v>
      </c>
      <c r="J30" s="38">
        <v>18242</v>
      </c>
      <c r="K30" s="38">
        <v>3070</v>
      </c>
      <c r="L30" s="38">
        <v>7727</v>
      </c>
      <c r="M30" s="38">
        <v>13080</v>
      </c>
      <c r="N30" s="38">
        <v>184</v>
      </c>
      <c r="O30" s="38">
        <v>241</v>
      </c>
      <c r="P30" s="38">
        <v>4901</v>
      </c>
      <c r="Q30" s="38">
        <v>205</v>
      </c>
      <c r="S30">
        <v>25</v>
      </c>
      <c r="T30">
        <f t="shared" si="1"/>
        <v>5.4205249753411754E-2</v>
      </c>
      <c r="U30">
        <f t="shared" si="2"/>
        <v>1.4765851575956541E-2</v>
      </c>
      <c r="V30">
        <f t="shared" si="3"/>
        <v>1.9756503305018623E-2</v>
      </c>
      <c r="W30">
        <f t="shared" si="4"/>
        <v>5.7252638862308067E-2</v>
      </c>
      <c r="X30">
        <f t="shared" si="5"/>
        <v>5.0524828124309924E-2</v>
      </c>
      <c r="Y30">
        <f t="shared" si="6"/>
        <v>0.10200656587218632</v>
      </c>
      <c r="Z30">
        <f t="shared" si="7"/>
        <v>0.26855300543230232</v>
      </c>
      <c r="AA30">
        <f t="shared" si="8"/>
        <v>4.519557760537047E-2</v>
      </c>
      <c r="AB30">
        <f t="shared" si="9"/>
        <v>0.11375447171227936</v>
      </c>
      <c r="AC30">
        <f t="shared" si="10"/>
        <v>0.19255965963460775</v>
      </c>
      <c r="AD30">
        <f t="shared" si="11"/>
        <v>2.7087903190189467E-3</v>
      </c>
      <c r="AE30">
        <f t="shared" si="12"/>
        <v>3.5479264504541638E-3</v>
      </c>
      <c r="AF30">
        <f t="shared" si="13"/>
        <v>7.2150985616912272E-2</v>
      </c>
      <c r="AG30">
        <f t="shared" si="14"/>
        <v>3.0179457358635005E-3</v>
      </c>
    </row>
    <row r="31" spans="1:33">
      <c r="A31" s="36">
        <f t="shared" si="15"/>
        <v>2022</v>
      </c>
      <c r="B31" s="36">
        <f t="shared" si="16"/>
        <v>26</v>
      </c>
      <c r="C31" s="37">
        <v>66506</v>
      </c>
      <c r="D31" s="38">
        <v>3529</v>
      </c>
      <c r="E31" s="38">
        <v>1040</v>
      </c>
      <c r="F31" s="38">
        <v>1295</v>
      </c>
      <c r="G31" s="38">
        <v>4001</v>
      </c>
      <c r="H31" s="38">
        <v>3265</v>
      </c>
      <c r="I31" s="38">
        <v>6493</v>
      </c>
      <c r="J31" s="38">
        <v>17913</v>
      </c>
      <c r="K31" s="38">
        <v>3029</v>
      </c>
      <c r="L31" s="38">
        <v>7461</v>
      </c>
      <c r="M31" s="38">
        <v>12974</v>
      </c>
      <c r="N31" s="38">
        <v>223</v>
      </c>
      <c r="O31" s="38">
        <v>230</v>
      </c>
      <c r="P31" s="38">
        <v>4808</v>
      </c>
      <c r="Q31" s="38">
        <v>245</v>
      </c>
      <c r="S31">
        <v>26</v>
      </c>
      <c r="T31">
        <f t="shared" si="1"/>
        <v>5.3062881544522301E-2</v>
      </c>
      <c r="U31">
        <f t="shared" si="2"/>
        <v>1.563768682524885E-2</v>
      </c>
      <c r="V31">
        <f t="shared" si="3"/>
        <v>1.9471927344901212E-2</v>
      </c>
      <c r="W31">
        <f t="shared" si="4"/>
        <v>6.0159985565212161E-2</v>
      </c>
      <c r="X31">
        <f t="shared" si="5"/>
        <v>4.9093314888882203E-2</v>
      </c>
      <c r="Y31">
        <f t="shared" si="6"/>
        <v>9.7630288996481518E-2</v>
      </c>
      <c r="Z31">
        <f t="shared" si="7"/>
        <v>0.26934411932757946</v>
      </c>
      <c r="AA31">
        <f t="shared" si="8"/>
        <v>4.5544762878537273E-2</v>
      </c>
      <c r="AB31">
        <f t="shared" si="9"/>
        <v>0.11218536673382852</v>
      </c>
      <c r="AC31">
        <f t="shared" si="10"/>
        <v>0.1950801431449794</v>
      </c>
      <c r="AD31">
        <f t="shared" si="11"/>
        <v>3.3530809250293205E-3</v>
      </c>
      <c r="AE31">
        <f t="shared" si="12"/>
        <v>3.458334586353111E-3</v>
      </c>
      <c r="AF31">
        <f t="shared" si="13"/>
        <v>7.2294229092111986E-2</v>
      </c>
      <c r="AG31">
        <f t="shared" si="14"/>
        <v>3.6838781463326615E-3</v>
      </c>
    </row>
    <row r="32" spans="1:33">
      <c r="A32" s="36">
        <f t="shared" si="15"/>
        <v>2022</v>
      </c>
      <c r="B32" s="36">
        <f t="shared" si="16"/>
        <v>27</v>
      </c>
      <c r="C32" s="37">
        <v>66109</v>
      </c>
      <c r="D32" s="38">
        <v>3617</v>
      </c>
      <c r="E32" s="38">
        <v>1034</v>
      </c>
      <c r="F32" s="38">
        <v>1377</v>
      </c>
      <c r="G32" s="38">
        <v>3782</v>
      </c>
      <c r="H32" s="38">
        <v>3359</v>
      </c>
      <c r="I32" s="38">
        <v>6451</v>
      </c>
      <c r="J32" s="38">
        <v>17726</v>
      </c>
      <c r="K32" s="38">
        <v>3046</v>
      </c>
      <c r="L32" s="38">
        <v>7613</v>
      </c>
      <c r="M32" s="38">
        <v>12918</v>
      </c>
      <c r="N32" s="38">
        <v>230</v>
      </c>
      <c r="O32" s="38">
        <v>208</v>
      </c>
      <c r="P32" s="38">
        <v>4520</v>
      </c>
      <c r="Q32" s="38">
        <v>228</v>
      </c>
      <c r="S32">
        <v>27</v>
      </c>
      <c r="T32">
        <f t="shared" si="1"/>
        <v>5.4712671497073019E-2</v>
      </c>
      <c r="U32">
        <f t="shared" si="2"/>
        <v>1.5640835589707906E-2</v>
      </c>
      <c r="V32">
        <f t="shared" si="3"/>
        <v>2.082923656385666E-2</v>
      </c>
      <c r="W32">
        <f t="shared" si="4"/>
        <v>5.7208549516707258E-2</v>
      </c>
      <c r="X32">
        <f t="shared" si="5"/>
        <v>5.0810025866372205E-2</v>
      </c>
      <c r="Y32">
        <f t="shared" si="6"/>
        <v>9.7581267300972635E-2</v>
      </c>
      <c r="Z32">
        <f t="shared" si="7"/>
        <v>0.26813293197597904</v>
      </c>
      <c r="AA32">
        <f t="shared" si="8"/>
        <v>4.6075420895793313E-2</v>
      </c>
      <c r="AB32">
        <f t="shared" si="9"/>
        <v>0.11515829917257862</v>
      </c>
      <c r="AC32">
        <f t="shared" si="10"/>
        <v>0.19540455913718252</v>
      </c>
      <c r="AD32">
        <f t="shared" si="11"/>
        <v>3.479102694035608E-3</v>
      </c>
      <c r="AE32">
        <f t="shared" si="12"/>
        <v>3.1463189580843757E-3</v>
      </c>
      <c r="AF32">
        <f t="shared" si="13"/>
        <v>6.8371931204525865E-2</v>
      </c>
      <c r="AG32">
        <f t="shared" si="14"/>
        <v>3.4488496271309504E-3</v>
      </c>
    </row>
    <row r="33" spans="1:33">
      <c r="A33" s="36">
        <f t="shared" si="15"/>
        <v>2022</v>
      </c>
      <c r="B33" s="36">
        <f t="shared" si="16"/>
        <v>28</v>
      </c>
      <c r="C33" s="37">
        <v>68425</v>
      </c>
      <c r="D33" s="38">
        <v>3837</v>
      </c>
      <c r="E33" s="38">
        <v>960</v>
      </c>
      <c r="F33" s="38">
        <v>1360</v>
      </c>
      <c r="G33" s="38">
        <v>3957</v>
      </c>
      <c r="H33" s="38">
        <v>3356</v>
      </c>
      <c r="I33" s="38">
        <v>7026</v>
      </c>
      <c r="J33" s="38">
        <v>17621</v>
      </c>
      <c r="K33" s="38">
        <v>3324</v>
      </c>
      <c r="L33" s="38">
        <v>7859</v>
      </c>
      <c r="M33" s="38">
        <v>13636</v>
      </c>
      <c r="N33" s="38">
        <v>205</v>
      </c>
      <c r="O33" s="38">
        <v>272</v>
      </c>
      <c r="P33" s="38">
        <v>4770</v>
      </c>
      <c r="Q33" s="38">
        <v>242</v>
      </c>
      <c r="S33">
        <v>28</v>
      </c>
      <c r="T33">
        <f t="shared" si="1"/>
        <v>5.6075995615637558E-2</v>
      </c>
      <c r="U33">
        <f t="shared" si="2"/>
        <v>1.4029959810010961E-2</v>
      </c>
      <c r="V33">
        <f t="shared" si="3"/>
        <v>1.9875776397515529E-2</v>
      </c>
      <c r="W33">
        <f t="shared" si="4"/>
        <v>5.7829740591888931E-2</v>
      </c>
      <c r="X33">
        <f t="shared" si="5"/>
        <v>4.9046401169163319E-2</v>
      </c>
      <c r="Y33">
        <f t="shared" si="6"/>
        <v>0.10268176835951771</v>
      </c>
      <c r="Z33">
        <f t="shared" si="7"/>
        <v>0.25752283522104497</v>
      </c>
      <c r="AA33">
        <f t="shared" si="8"/>
        <v>4.8578735842162955E-2</v>
      </c>
      <c r="AB33">
        <f t="shared" si="9"/>
        <v>0.11485568140299598</v>
      </c>
      <c r="AC33">
        <f t="shared" si="10"/>
        <v>0.19928388746803069</v>
      </c>
      <c r="AD33">
        <f t="shared" si="11"/>
        <v>2.9959810010960907E-3</v>
      </c>
      <c r="AE33">
        <f t="shared" si="12"/>
        <v>3.9751552795031057E-3</v>
      </c>
      <c r="AF33">
        <f t="shared" si="13"/>
        <v>6.9711362805991967E-2</v>
      </c>
      <c r="AG33">
        <f t="shared" si="14"/>
        <v>3.5367190354402629E-3</v>
      </c>
    </row>
    <row r="34" spans="1:33">
      <c r="A34" s="36">
        <f t="shared" si="15"/>
        <v>2022</v>
      </c>
      <c r="B34" s="36">
        <f t="shared" si="16"/>
        <v>29</v>
      </c>
      <c r="C34" s="37">
        <v>68712</v>
      </c>
      <c r="D34" s="38">
        <v>3778</v>
      </c>
      <c r="E34" s="38">
        <v>1187</v>
      </c>
      <c r="F34" s="38">
        <v>1422</v>
      </c>
      <c r="G34" s="38">
        <v>4140</v>
      </c>
      <c r="H34" s="38">
        <v>3575</v>
      </c>
      <c r="I34" s="38">
        <v>6949</v>
      </c>
      <c r="J34" s="38">
        <v>17437</v>
      </c>
      <c r="K34" s="38">
        <v>3297</v>
      </c>
      <c r="L34" s="38">
        <v>7964</v>
      </c>
      <c r="M34" s="38">
        <v>13237</v>
      </c>
      <c r="N34" s="38">
        <v>226</v>
      </c>
      <c r="O34" s="38">
        <v>280</v>
      </c>
      <c r="P34" s="38">
        <v>5014</v>
      </c>
      <c r="Q34" s="38">
        <v>206</v>
      </c>
      <c r="S34">
        <v>29</v>
      </c>
      <c r="T34">
        <f t="shared" si="1"/>
        <v>5.4983117941553146E-2</v>
      </c>
      <c r="U34">
        <f t="shared" si="2"/>
        <v>1.7275002910699732E-2</v>
      </c>
      <c r="V34">
        <f t="shared" si="3"/>
        <v>2.0695075096053093E-2</v>
      </c>
      <c r="W34">
        <f t="shared" si="4"/>
        <v>6.025148445686343E-2</v>
      </c>
      <c r="X34">
        <f t="shared" si="5"/>
        <v>5.2028757713354287E-2</v>
      </c>
      <c r="Y34">
        <f t="shared" si="6"/>
        <v>0.10113226219583188</v>
      </c>
      <c r="Z34">
        <f t="shared" si="7"/>
        <v>0.25376935615321922</v>
      </c>
      <c r="AA34">
        <f t="shared" si="8"/>
        <v>4.7982885085574571E-2</v>
      </c>
      <c r="AB34">
        <f t="shared" si="9"/>
        <v>0.11590406333682618</v>
      </c>
      <c r="AC34">
        <f t="shared" si="10"/>
        <v>0.19264466177669112</v>
      </c>
      <c r="AD34">
        <f t="shared" si="11"/>
        <v>3.2890906974036558E-3</v>
      </c>
      <c r="AE34">
        <f t="shared" si="12"/>
        <v>4.0749796251018742E-3</v>
      </c>
      <c r="AF34">
        <f t="shared" si="13"/>
        <v>7.2971242286645713E-2</v>
      </c>
      <c r="AG34">
        <f t="shared" si="14"/>
        <v>2.9980207241820933E-3</v>
      </c>
    </row>
    <row r="35" spans="1:33">
      <c r="A35" s="36">
        <f t="shared" si="15"/>
        <v>2022</v>
      </c>
      <c r="B35" s="36">
        <f t="shared" si="16"/>
        <v>30</v>
      </c>
      <c r="C35" s="37">
        <v>71119</v>
      </c>
      <c r="D35" s="38">
        <v>4041</v>
      </c>
      <c r="E35" s="38">
        <v>1015</v>
      </c>
      <c r="F35" s="38">
        <v>1469</v>
      </c>
      <c r="G35" s="38">
        <v>4038</v>
      </c>
      <c r="H35" s="38">
        <v>3716</v>
      </c>
      <c r="I35" s="38">
        <v>7237</v>
      </c>
      <c r="J35" s="38">
        <v>18214</v>
      </c>
      <c r="K35" s="38">
        <v>3529</v>
      </c>
      <c r="L35" s="38">
        <v>8593</v>
      </c>
      <c r="M35" s="38">
        <v>13618</v>
      </c>
      <c r="N35" s="38">
        <v>275</v>
      </c>
      <c r="O35" s="38">
        <v>262</v>
      </c>
      <c r="P35" s="38">
        <v>4846</v>
      </c>
      <c r="Q35" s="38">
        <v>266</v>
      </c>
      <c r="S35">
        <v>30</v>
      </c>
      <c r="T35">
        <f t="shared" si="1"/>
        <v>5.6820259002516908E-2</v>
      </c>
      <c r="U35">
        <f t="shared" si="2"/>
        <v>1.4271854216172893E-2</v>
      </c>
      <c r="V35">
        <f t="shared" si="3"/>
        <v>2.0655521028135941E-2</v>
      </c>
      <c r="W35">
        <f t="shared" si="4"/>
        <v>5.6778076182173537E-2</v>
      </c>
      <c r="X35">
        <f t="shared" si="5"/>
        <v>5.2250453465318689E-2</v>
      </c>
      <c r="Y35">
        <f t="shared" si="6"/>
        <v>0.10175902360831846</v>
      </c>
      <c r="Z35">
        <f t="shared" si="7"/>
        <v>0.25610596324470253</v>
      </c>
      <c r="AA35">
        <f t="shared" si="8"/>
        <v>4.9621057663915412E-2</v>
      </c>
      <c r="AB35">
        <f t="shared" si="9"/>
        <v>0.12082565840352086</v>
      </c>
      <c r="AC35">
        <f t="shared" si="10"/>
        <v>0.19148188247866252</v>
      </c>
      <c r="AD35">
        <f t="shared" si="11"/>
        <v>3.8667585314754145E-3</v>
      </c>
      <c r="AE35">
        <f t="shared" si="12"/>
        <v>3.6839663099874857E-3</v>
      </c>
      <c r="AF35">
        <f t="shared" si="13"/>
        <v>6.8139315794654029E-2</v>
      </c>
      <c r="AG35">
        <f t="shared" si="14"/>
        <v>3.7402100704453101E-3</v>
      </c>
    </row>
    <row r="36" spans="1:33">
      <c r="A36" s="36">
        <f t="shared" si="15"/>
        <v>2022</v>
      </c>
      <c r="B36" s="36">
        <f t="shared" si="16"/>
        <v>31</v>
      </c>
      <c r="C36" s="37">
        <v>72812</v>
      </c>
      <c r="D36" s="38">
        <v>4084</v>
      </c>
      <c r="E36" s="38">
        <v>1252</v>
      </c>
      <c r="F36" s="38">
        <v>1474</v>
      </c>
      <c r="G36" s="38">
        <v>4346</v>
      </c>
      <c r="H36" s="38">
        <v>3788</v>
      </c>
      <c r="I36" s="38">
        <v>7685</v>
      </c>
      <c r="J36" s="38">
        <v>17872</v>
      </c>
      <c r="K36" s="38">
        <v>3508</v>
      </c>
      <c r="L36" s="38">
        <v>8569</v>
      </c>
      <c r="M36" s="38">
        <v>14290</v>
      </c>
      <c r="N36" s="38">
        <v>248</v>
      </c>
      <c r="O36" s="38">
        <v>274</v>
      </c>
      <c r="P36" s="38">
        <v>5195</v>
      </c>
      <c r="Q36" s="38">
        <v>227</v>
      </c>
      <c r="S36">
        <v>31</v>
      </c>
      <c r="T36">
        <f t="shared" si="1"/>
        <v>5.6089655551282758E-2</v>
      </c>
      <c r="U36">
        <f t="shared" si="2"/>
        <v>1.7194967862440257E-2</v>
      </c>
      <c r="V36">
        <f t="shared" si="3"/>
        <v>2.0243915838048673E-2</v>
      </c>
      <c r="W36">
        <f t="shared" si="4"/>
        <v>5.9687963522496293E-2</v>
      </c>
      <c r="X36">
        <f t="shared" si="5"/>
        <v>5.2024391583804869E-2</v>
      </c>
      <c r="Y36">
        <f t="shared" si="6"/>
        <v>0.10554578915563369</v>
      </c>
      <c r="Z36">
        <f t="shared" si="7"/>
        <v>0.24545404603636764</v>
      </c>
      <c r="AA36">
        <f t="shared" si="8"/>
        <v>4.8178871614569026E-2</v>
      </c>
      <c r="AB36">
        <f t="shared" si="9"/>
        <v>0.11768664505850684</v>
      </c>
      <c r="AC36">
        <f t="shared" si="10"/>
        <v>0.19625885842992913</v>
      </c>
      <c r="AD36">
        <f t="shared" si="11"/>
        <v>3.4060319727517441E-3</v>
      </c>
      <c r="AE36">
        <f t="shared" si="12"/>
        <v>3.7631159698950723E-3</v>
      </c>
      <c r="AF36">
        <f t="shared" si="13"/>
        <v>7.1348129429214965E-2</v>
      </c>
      <c r="AG36">
        <f t="shared" si="14"/>
        <v>3.1176179750590561E-3</v>
      </c>
    </row>
    <row r="37" spans="1:33">
      <c r="A37" s="36">
        <f t="shared" si="15"/>
        <v>2022</v>
      </c>
      <c r="B37" s="36">
        <f t="shared" si="16"/>
        <v>32</v>
      </c>
      <c r="C37" s="37">
        <v>70587</v>
      </c>
      <c r="D37" s="38">
        <v>4106</v>
      </c>
      <c r="E37" s="38">
        <v>1141</v>
      </c>
      <c r="F37" s="38">
        <v>1497</v>
      </c>
      <c r="G37" s="38">
        <v>4308</v>
      </c>
      <c r="H37" s="38">
        <v>3584</v>
      </c>
      <c r="I37" s="38">
        <v>7537</v>
      </c>
      <c r="J37" s="38">
        <v>17410</v>
      </c>
      <c r="K37" s="38">
        <v>3510</v>
      </c>
      <c r="L37" s="38">
        <v>8380</v>
      </c>
      <c r="M37" s="38">
        <v>13510</v>
      </c>
      <c r="N37" s="38">
        <v>280</v>
      </c>
      <c r="O37" s="38">
        <v>278</v>
      </c>
      <c r="P37" s="38">
        <v>4796</v>
      </c>
      <c r="Q37" s="38">
        <v>250</v>
      </c>
      <c r="S37">
        <v>32</v>
      </c>
      <c r="T37">
        <f t="shared" si="1"/>
        <v>5.8169351296981031E-2</v>
      </c>
      <c r="U37">
        <f t="shared" si="2"/>
        <v>1.6164449544533697E-2</v>
      </c>
      <c r="V37">
        <f t="shared" si="3"/>
        <v>2.1207871137744909E-2</v>
      </c>
      <c r="W37">
        <f t="shared" si="4"/>
        <v>6.1031068043690767E-2</v>
      </c>
      <c r="X37">
        <f t="shared" si="5"/>
        <v>5.0774221882216274E-2</v>
      </c>
      <c r="Y37">
        <f t="shared" si="6"/>
        <v>0.10677603524728349</v>
      </c>
      <c r="Z37">
        <f t="shared" si="7"/>
        <v>0.24664598297136867</v>
      </c>
      <c r="AA37">
        <f t="shared" si="8"/>
        <v>4.9725870202728548E-2</v>
      </c>
      <c r="AB37">
        <f t="shared" si="9"/>
        <v>0.11871874424469095</v>
      </c>
      <c r="AC37">
        <f t="shared" si="10"/>
        <v>0.19139501607944806</v>
      </c>
      <c r="AD37">
        <f t="shared" si="11"/>
        <v>3.9667360845481465E-3</v>
      </c>
      <c r="AE37">
        <f t="shared" si="12"/>
        <v>3.9384022553728025E-3</v>
      </c>
      <c r="AF37">
        <f t="shared" si="13"/>
        <v>6.7944522362474682E-2</v>
      </c>
      <c r="AG37">
        <f t="shared" si="14"/>
        <v>3.5417286469179876E-3</v>
      </c>
    </row>
    <row r="38" spans="1:33">
      <c r="A38" s="36">
        <f t="shared" si="15"/>
        <v>2022</v>
      </c>
      <c r="B38" s="36">
        <f t="shared" si="16"/>
        <v>33</v>
      </c>
      <c r="C38" s="37">
        <v>70779</v>
      </c>
      <c r="D38" s="38">
        <v>4072</v>
      </c>
      <c r="E38" s="38">
        <v>1146</v>
      </c>
      <c r="F38" s="38">
        <v>1482</v>
      </c>
      <c r="G38" s="38">
        <v>4373</v>
      </c>
      <c r="H38" s="38">
        <v>3432</v>
      </c>
      <c r="I38" s="38">
        <v>7598</v>
      </c>
      <c r="J38" s="38">
        <v>17294</v>
      </c>
      <c r="K38" s="38">
        <v>3670</v>
      </c>
      <c r="L38" s="38">
        <v>8370</v>
      </c>
      <c r="M38" s="38">
        <v>13672</v>
      </c>
      <c r="N38" s="38">
        <v>226</v>
      </c>
      <c r="O38" s="38">
        <v>277</v>
      </c>
      <c r="P38" s="38">
        <v>4893</v>
      </c>
      <c r="Q38" s="38">
        <v>274</v>
      </c>
      <c r="S38">
        <v>33</v>
      </c>
      <c r="T38">
        <f t="shared" si="1"/>
        <v>5.7531188629395727E-2</v>
      </c>
      <c r="U38">
        <f t="shared" si="2"/>
        <v>1.6191243165345655E-2</v>
      </c>
      <c r="V38">
        <f t="shared" si="3"/>
        <v>2.0938413936337049E-2</v>
      </c>
      <c r="W38">
        <f t="shared" si="4"/>
        <v>6.178386244507552E-2</v>
      </c>
      <c r="X38">
        <f t="shared" si="5"/>
        <v>4.8488958589412115E-2</v>
      </c>
      <c r="Y38">
        <f t="shared" si="6"/>
        <v>0.10734822475593044</v>
      </c>
      <c r="Z38">
        <f t="shared" si="7"/>
        <v>0.24433800986168214</v>
      </c>
      <c r="AA38">
        <f t="shared" si="8"/>
        <v>5.185153788553102E-2</v>
      </c>
      <c r="AB38">
        <f t="shared" si="9"/>
        <v>0.11825541474166067</v>
      </c>
      <c r="AC38">
        <f t="shared" si="10"/>
        <v>0.19316463922914989</v>
      </c>
      <c r="AD38">
        <f t="shared" si="11"/>
        <v>3.1930374828692126E-3</v>
      </c>
      <c r="AE38">
        <f t="shared" si="12"/>
        <v>3.9135901891804064E-3</v>
      </c>
      <c r="AF38">
        <f t="shared" si="13"/>
        <v>6.9130674352562205E-2</v>
      </c>
      <c r="AG38">
        <f t="shared" si="14"/>
        <v>3.8712047358679834E-3</v>
      </c>
    </row>
    <row r="39" spans="1:33">
      <c r="A39" s="36">
        <f t="shared" si="15"/>
        <v>2022</v>
      </c>
      <c r="B39" s="36">
        <f t="shared" si="16"/>
        <v>34</v>
      </c>
      <c r="C39" s="37">
        <v>72543</v>
      </c>
      <c r="D39" s="38">
        <v>4114</v>
      </c>
      <c r="E39" s="38">
        <v>1139</v>
      </c>
      <c r="F39" s="38">
        <v>1574</v>
      </c>
      <c r="G39" s="38">
        <v>4630</v>
      </c>
      <c r="H39" s="38">
        <v>3785</v>
      </c>
      <c r="I39" s="38">
        <v>7835</v>
      </c>
      <c r="J39" s="38">
        <v>17807</v>
      </c>
      <c r="K39" s="38">
        <v>3509</v>
      </c>
      <c r="L39" s="38">
        <v>8756</v>
      </c>
      <c r="M39" s="38">
        <v>13586</v>
      </c>
      <c r="N39" s="38">
        <v>252</v>
      </c>
      <c r="O39" s="38">
        <v>271</v>
      </c>
      <c r="P39" s="38">
        <v>4998</v>
      </c>
      <c r="Q39" s="38">
        <v>287</v>
      </c>
      <c r="S39">
        <v>34</v>
      </c>
      <c r="T39">
        <f t="shared" si="1"/>
        <v>5.6711191982686128E-2</v>
      </c>
      <c r="U39">
        <f t="shared" si="2"/>
        <v>1.5701032491074258E-2</v>
      </c>
      <c r="V39">
        <f t="shared" si="3"/>
        <v>2.1697475979763726E-2</v>
      </c>
      <c r="W39">
        <f t="shared" si="4"/>
        <v>6.3824214603752261E-2</v>
      </c>
      <c r="X39">
        <f t="shared" si="5"/>
        <v>5.2175950815378465E-2</v>
      </c>
      <c r="Y39">
        <f t="shared" si="6"/>
        <v>0.10800490743421143</v>
      </c>
      <c r="Z39">
        <f t="shared" si="7"/>
        <v>0.24546820506458239</v>
      </c>
      <c r="AA39">
        <f t="shared" si="8"/>
        <v>4.8371310808761697E-2</v>
      </c>
      <c r="AB39">
        <f t="shared" si="9"/>
        <v>0.12070082571716086</v>
      </c>
      <c r="AC39">
        <f t="shared" si="10"/>
        <v>0.18728202583295425</v>
      </c>
      <c r="AD39">
        <f t="shared" si="11"/>
        <v>3.4738017451718291E-3</v>
      </c>
      <c r="AE39">
        <f t="shared" si="12"/>
        <v>3.7357153688157368E-3</v>
      </c>
      <c r="AF39">
        <f t="shared" si="13"/>
        <v>6.8897067945907942E-2</v>
      </c>
      <c r="AG39">
        <f t="shared" si="14"/>
        <v>3.9562742097790276E-3</v>
      </c>
    </row>
    <row r="40" spans="1:33">
      <c r="A40" s="36">
        <f t="shared" si="15"/>
        <v>2022</v>
      </c>
      <c r="B40" s="36">
        <f t="shared" si="16"/>
        <v>35</v>
      </c>
      <c r="C40" s="37">
        <v>69802</v>
      </c>
      <c r="D40" s="38">
        <v>3988</v>
      </c>
      <c r="E40" s="38">
        <v>1094</v>
      </c>
      <c r="F40" s="38">
        <v>1527</v>
      </c>
      <c r="G40" s="38">
        <v>4233</v>
      </c>
      <c r="H40" s="38">
        <v>3540</v>
      </c>
      <c r="I40" s="38">
        <v>7759</v>
      </c>
      <c r="J40" s="38">
        <v>16796</v>
      </c>
      <c r="K40" s="38">
        <v>3615</v>
      </c>
      <c r="L40" s="38">
        <v>8108</v>
      </c>
      <c r="M40" s="38">
        <v>13337</v>
      </c>
      <c r="N40" s="38">
        <v>253</v>
      </c>
      <c r="O40" s="38">
        <v>320</v>
      </c>
      <c r="P40" s="38">
        <v>4969</v>
      </c>
      <c r="Q40" s="38">
        <v>263</v>
      </c>
      <c r="S40">
        <v>35</v>
      </c>
      <c r="T40">
        <f t="shared" si="1"/>
        <v>5.7133033437437322E-2</v>
      </c>
      <c r="U40">
        <f t="shared" si="2"/>
        <v>1.5672903355204722E-2</v>
      </c>
      <c r="V40">
        <f t="shared" si="3"/>
        <v>2.1876164006761983E-2</v>
      </c>
      <c r="W40">
        <f t="shared" si="4"/>
        <v>6.0642961519727229E-2</v>
      </c>
      <c r="X40">
        <f t="shared" si="5"/>
        <v>5.0714879229821493E-2</v>
      </c>
      <c r="Y40">
        <f t="shared" si="6"/>
        <v>0.11115727343056073</v>
      </c>
      <c r="Z40">
        <f t="shared" si="7"/>
        <v>0.24062347783731125</v>
      </c>
      <c r="AA40">
        <f t="shared" si="8"/>
        <v>5.1789347010114326E-2</v>
      </c>
      <c r="AB40">
        <f t="shared" si="9"/>
        <v>0.11615713016819003</v>
      </c>
      <c r="AC40">
        <f t="shared" si="10"/>
        <v>0.19106902381020602</v>
      </c>
      <c r="AD40">
        <f t="shared" si="11"/>
        <v>3.6245379788544742E-3</v>
      </c>
      <c r="AE40">
        <f t="shared" si="12"/>
        <v>4.5843958625827342E-3</v>
      </c>
      <c r="AF40">
        <f t="shared" si="13"/>
        <v>7.1187072003667515E-2</v>
      </c>
      <c r="AG40">
        <f t="shared" si="14"/>
        <v>3.7678003495601846E-3</v>
      </c>
    </row>
    <row r="41" spans="1:33">
      <c r="A41" s="36">
        <f t="shared" si="15"/>
        <v>2022</v>
      </c>
      <c r="B41" s="36">
        <f t="shared" si="16"/>
        <v>36</v>
      </c>
      <c r="C41" s="37">
        <v>70217</v>
      </c>
      <c r="D41" s="38">
        <v>4059</v>
      </c>
      <c r="E41" s="38">
        <v>1217</v>
      </c>
      <c r="F41" s="38">
        <v>1441</v>
      </c>
      <c r="G41" s="38">
        <v>4541</v>
      </c>
      <c r="H41" s="38">
        <v>3459</v>
      </c>
      <c r="I41" s="38">
        <v>7795</v>
      </c>
      <c r="J41" s="38">
        <v>16462</v>
      </c>
      <c r="K41" s="38">
        <v>3664</v>
      </c>
      <c r="L41" s="38">
        <v>8603</v>
      </c>
      <c r="M41" s="38">
        <v>13128</v>
      </c>
      <c r="N41" s="38">
        <v>251</v>
      </c>
      <c r="O41" s="38">
        <v>264</v>
      </c>
      <c r="P41" s="38">
        <v>5105</v>
      </c>
      <c r="Q41" s="38">
        <v>228</v>
      </c>
      <c r="S41">
        <v>36</v>
      </c>
      <c r="T41">
        <f t="shared" si="1"/>
        <v>5.7806514092028999E-2</v>
      </c>
      <c r="U41">
        <f t="shared" si="2"/>
        <v>1.7331985131805689E-2</v>
      </c>
      <c r="V41">
        <f t="shared" si="3"/>
        <v>2.0522095788769103E-2</v>
      </c>
      <c r="W41">
        <f t="shared" si="4"/>
        <v>6.4670948630673478E-2</v>
      </c>
      <c r="X41">
        <f t="shared" si="5"/>
        <v>4.9261574832305567E-2</v>
      </c>
      <c r="Y41">
        <f t="shared" si="6"/>
        <v>0.11101300254924021</v>
      </c>
      <c r="Z41">
        <f t="shared" si="7"/>
        <v>0.23444465015594515</v>
      </c>
      <c r="AA41">
        <f t="shared" si="8"/>
        <v>5.2181095746044404E-2</v>
      </c>
      <c r="AB41">
        <f t="shared" si="9"/>
        <v>0.1225201874190011</v>
      </c>
      <c r="AC41">
        <f t="shared" si="10"/>
        <v>0.18696327100274862</v>
      </c>
      <c r="AD41">
        <f t="shared" si="11"/>
        <v>3.5746329236509677E-3</v>
      </c>
      <c r="AE41">
        <f t="shared" si="12"/>
        <v>3.7597732742783085E-3</v>
      </c>
      <c r="AF41">
        <f t="shared" si="13"/>
        <v>7.2703191534813513E-2</v>
      </c>
      <c r="AG41">
        <f t="shared" si="14"/>
        <v>3.2470769186949029E-3</v>
      </c>
    </row>
    <row r="42" spans="1:33">
      <c r="A42" s="36">
        <f t="shared" si="15"/>
        <v>2022</v>
      </c>
      <c r="B42" s="36">
        <f t="shared" si="16"/>
        <v>37</v>
      </c>
      <c r="C42" s="37">
        <v>70574</v>
      </c>
      <c r="D42" s="38">
        <v>4091</v>
      </c>
      <c r="E42" s="38">
        <v>1140</v>
      </c>
      <c r="F42" s="38">
        <v>1501</v>
      </c>
      <c r="G42" s="38">
        <v>4517</v>
      </c>
      <c r="H42" s="38">
        <v>3686</v>
      </c>
      <c r="I42" s="38">
        <v>8020</v>
      </c>
      <c r="J42" s="38">
        <v>16343</v>
      </c>
      <c r="K42" s="38">
        <v>3655</v>
      </c>
      <c r="L42" s="38">
        <v>8753</v>
      </c>
      <c r="M42" s="38">
        <v>12998</v>
      </c>
      <c r="N42" s="38">
        <v>272</v>
      </c>
      <c r="O42" s="38">
        <v>264</v>
      </c>
      <c r="P42" s="38">
        <v>5092</v>
      </c>
      <c r="Q42" s="38">
        <v>242</v>
      </c>
      <c r="S42">
        <v>37</v>
      </c>
      <c r="T42">
        <f t="shared" si="1"/>
        <v>5.7967523450562532E-2</v>
      </c>
      <c r="U42">
        <f t="shared" si="2"/>
        <v>1.6153257573610677E-2</v>
      </c>
      <c r="V42">
        <f t="shared" si="3"/>
        <v>2.126845580525406E-2</v>
      </c>
      <c r="W42">
        <f t="shared" si="4"/>
        <v>6.4003740754385474E-2</v>
      </c>
      <c r="X42">
        <f t="shared" si="5"/>
        <v>5.2228866154674529E-2</v>
      </c>
      <c r="Y42">
        <f t="shared" si="6"/>
        <v>0.11363958398276985</v>
      </c>
      <c r="Z42">
        <f t="shared" si="7"/>
        <v>0.23157253379431519</v>
      </c>
      <c r="AA42">
        <f t="shared" si="8"/>
        <v>5.1789610904865814E-2</v>
      </c>
      <c r="AB42">
        <f t="shared" si="9"/>
        <v>0.12402584521211778</v>
      </c>
      <c r="AC42">
        <f t="shared" si="10"/>
        <v>0.18417547538753648</v>
      </c>
      <c r="AD42">
        <f t="shared" si="11"/>
        <v>3.8541105789667582E-3</v>
      </c>
      <c r="AE42">
        <f t="shared" si="12"/>
        <v>3.7407543854677361E-3</v>
      </c>
      <c r="AF42">
        <f t="shared" si="13"/>
        <v>7.215121716212769E-2</v>
      </c>
      <c r="AG42">
        <f t="shared" si="14"/>
        <v>3.4290248533454248E-3</v>
      </c>
    </row>
    <row r="43" spans="1:33">
      <c r="A43" s="36">
        <f t="shared" si="15"/>
        <v>2022</v>
      </c>
      <c r="B43" s="36">
        <f t="shared" si="16"/>
        <v>38</v>
      </c>
      <c r="C43" s="37">
        <v>68735</v>
      </c>
      <c r="D43" s="38">
        <v>4047</v>
      </c>
      <c r="E43" s="38">
        <v>1222</v>
      </c>
      <c r="F43" s="38">
        <v>1412</v>
      </c>
      <c r="G43" s="38">
        <v>4327</v>
      </c>
      <c r="H43" s="38">
        <v>3609</v>
      </c>
      <c r="I43" s="38">
        <v>7742</v>
      </c>
      <c r="J43" s="38">
        <v>15686</v>
      </c>
      <c r="K43" s="38">
        <v>3669</v>
      </c>
      <c r="L43" s="38">
        <v>8561</v>
      </c>
      <c r="M43" s="38">
        <v>12580</v>
      </c>
      <c r="N43" s="38">
        <v>232</v>
      </c>
      <c r="O43" s="38">
        <v>260</v>
      </c>
      <c r="P43" s="38">
        <v>5140</v>
      </c>
      <c r="Q43" s="38">
        <v>248</v>
      </c>
      <c r="S43">
        <v>38</v>
      </c>
      <c r="T43">
        <f t="shared" si="1"/>
        <v>5.8878300720157123E-2</v>
      </c>
      <c r="U43">
        <f t="shared" si="2"/>
        <v>1.7778424383501856E-2</v>
      </c>
      <c r="V43">
        <f t="shared" si="3"/>
        <v>2.0542663853931768E-2</v>
      </c>
      <c r="W43">
        <f t="shared" si="4"/>
        <v>6.2951916781843309E-2</v>
      </c>
      <c r="X43">
        <f t="shared" si="5"/>
        <v>5.250600130937659E-2</v>
      </c>
      <c r="Y43">
        <f t="shared" si="6"/>
        <v>0.11263548410562305</v>
      </c>
      <c r="Z43">
        <f t="shared" si="7"/>
        <v>0.22820979122717683</v>
      </c>
      <c r="AA43">
        <f t="shared" si="8"/>
        <v>5.3378919036880773E-2</v>
      </c>
      <c r="AB43">
        <f t="shared" si="9"/>
        <v>0.12455081108605513</v>
      </c>
      <c r="AC43">
        <f t="shared" si="10"/>
        <v>0.18302175020004366</v>
      </c>
      <c r="AD43">
        <f t="shared" si="11"/>
        <v>3.37528187968284E-3</v>
      </c>
      <c r="AE43">
        <f t="shared" si="12"/>
        <v>3.7826434858514585E-3</v>
      </c>
      <c r="AF43">
        <f t="shared" si="13"/>
        <v>7.4779951989524987E-2</v>
      </c>
      <c r="AG43">
        <f t="shared" si="14"/>
        <v>3.6080599403506219E-3</v>
      </c>
    </row>
    <row r="44" spans="1:33">
      <c r="A44" s="36">
        <f t="shared" si="15"/>
        <v>2022</v>
      </c>
      <c r="B44" s="36">
        <f t="shared" si="16"/>
        <v>39</v>
      </c>
      <c r="C44" s="37">
        <v>69204</v>
      </c>
      <c r="D44" s="38">
        <v>4089</v>
      </c>
      <c r="E44" s="38">
        <v>1304</v>
      </c>
      <c r="F44" s="38">
        <v>1480</v>
      </c>
      <c r="G44" s="38">
        <v>4373</v>
      </c>
      <c r="H44" s="38">
        <v>3749</v>
      </c>
      <c r="I44" s="38">
        <v>7764</v>
      </c>
      <c r="J44" s="38">
        <v>15668</v>
      </c>
      <c r="K44" s="38">
        <v>3755</v>
      </c>
      <c r="L44" s="38">
        <v>8759</v>
      </c>
      <c r="M44" s="38">
        <v>12649</v>
      </c>
      <c r="N44" s="38">
        <v>254</v>
      </c>
      <c r="O44" s="38">
        <v>255</v>
      </c>
      <c r="P44" s="38">
        <v>4835</v>
      </c>
      <c r="Q44" s="38">
        <v>270</v>
      </c>
      <c r="S44">
        <v>39</v>
      </c>
      <c r="T44">
        <f t="shared" si="1"/>
        <v>5.9086179989595977E-2</v>
      </c>
      <c r="U44">
        <f t="shared" si="2"/>
        <v>1.8842841454251198E-2</v>
      </c>
      <c r="V44">
        <f t="shared" si="3"/>
        <v>2.1386047049303508E-2</v>
      </c>
      <c r="W44">
        <f t="shared" si="4"/>
        <v>6.3189989017975845E-2</v>
      </c>
      <c r="X44">
        <f t="shared" si="5"/>
        <v>5.4173169180972196E-2</v>
      </c>
      <c r="Y44">
        <f t="shared" si="6"/>
        <v>0.112190046818103</v>
      </c>
      <c r="Z44">
        <f t="shared" si="7"/>
        <v>0.2264030980868158</v>
      </c>
      <c r="AA44">
        <f t="shared" si="8"/>
        <v>5.4259869371712614E-2</v>
      </c>
      <c r="AB44">
        <f t="shared" si="9"/>
        <v>0.1265678284492226</v>
      </c>
      <c r="AC44">
        <f t="shared" si="10"/>
        <v>0.18277845211259464</v>
      </c>
      <c r="AD44">
        <f t="shared" si="11"/>
        <v>3.6703080746777641E-3</v>
      </c>
      <c r="AE44">
        <f t="shared" si="12"/>
        <v>3.6847581064678343E-3</v>
      </c>
      <c r="AF44">
        <f t="shared" si="13"/>
        <v>6.9865903704988144E-2</v>
      </c>
      <c r="AG44">
        <f t="shared" si="14"/>
        <v>3.9015085833188834E-3</v>
      </c>
    </row>
    <row r="45" spans="1:33">
      <c r="A45" s="36">
        <f t="shared" si="15"/>
        <v>2022</v>
      </c>
      <c r="B45" s="36">
        <f t="shared" si="16"/>
        <v>40</v>
      </c>
      <c r="C45" s="37">
        <v>69239</v>
      </c>
      <c r="D45" s="38">
        <v>4270</v>
      </c>
      <c r="E45" s="38">
        <v>1259</v>
      </c>
      <c r="F45" s="38">
        <v>1535</v>
      </c>
      <c r="G45" s="38">
        <v>4506</v>
      </c>
      <c r="H45" s="38">
        <v>3867</v>
      </c>
      <c r="I45" s="38">
        <v>7659</v>
      </c>
      <c r="J45" s="38">
        <v>15304</v>
      </c>
      <c r="K45" s="38">
        <v>3795</v>
      </c>
      <c r="L45" s="38">
        <v>8710</v>
      </c>
      <c r="M45" s="38">
        <v>12546</v>
      </c>
      <c r="N45" s="38">
        <v>224</v>
      </c>
      <c r="O45" s="38">
        <v>263</v>
      </c>
      <c r="P45" s="38">
        <v>5011</v>
      </c>
      <c r="Q45" s="38">
        <v>290</v>
      </c>
      <c r="S45">
        <v>40</v>
      </c>
      <c r="T45">
        <f t="shared" si="1"/>
        <v>6.1670445846993743E-2</v>
      </c>
      <c r="U45">
        <f t="shared" si="2"/>
        <v>1.8183393752076144E-2</v>
      </c>
      <c r="V45">
        <f t="shared" si="3"/>
        <v>2.2169586504715552E-2</v>
      </c>
      <c r="W45">
        <f t="shared" si="4"/>
        <v>6.5078929505047733E-2</v>
      </c>
      <c r="X45">
        <f t="shared" si="5"/>
        <v>5.5850026719045626E-2</v>
      </c>
      <c r="Y45">
        <f t="shared" si="6"/>
        <v>0.11061684888574358</v>
      </c>
      <c r="Z45">
        <f t="shared" si="7"/>
        <v>0.22103149958838228</v>
      </c>
      <c r="AA45">
        <f t="shared" si="8"/>
        <v>5.4810150348791865E-2</v>
      </c>
      <c r="AB45">
        <f t="shared" si="9"/>
        <v>0.12579615534597555</v>
      </c>
      <c r="AC45">
        <f t="shared" si="10"/>
        <v>0.18119845751671745</v>
      </c>
      <c r="AD45">
        <f t="shared" si="11"/>
        <v>3.2351709296783607E-3</v>
      </c>
      <c r="AE45">
        <f t="shared" si="12"/>
        <v>3.7984372968991463E-3</v>
      </c>
      <c r="AF45">
        <f t="shared" si="13"/>
        <v>7.2372506824188679E-2</v>
      </c>
      <c r="AG45">
        <f t="shared" si="14"/>
        <v>4.188390935744306E-3</v>
      </c>
    </row>
    <row r="46" spans="1:33">
      <c r="A46" s="36">
        <f t="shared" si="15"/>
        <v>2022</v>
      </c>
      <c r="B46" s="36">
        <f t="shared" si="16"/>
        <v>41</v>
      </c>
      <c r="C46" s="37">
        <v>70237</v>
      </c>
      <c r="D46" s="38">
        <v>4334</v>
      </c>
      <c r="E46" s="38">
        <v>1288</v>
      </c>
      <c r="F46" s="38">
        <v>1433</v>
      </c>
      <c r="G46" s="38">
        <v>4581</v>
      </c>
      <c r="H46" s="38">
        <v>3773</v>
      </c>
      <c r="I46" s="38">
        <v>7800</v>
      </c>
      <c r="J46" s="38">
        <v>15523</v>
      </c>
      <c r="K46" s="38">
        <v>3993</v>
      </c>
      <c r="L46" s="38">
        <v>9262</v>
      </c>
      <c r="M46" s="38">
        <v>12402</v>
      </c>
      <c r="N46" s="38">
        <v>229</v>
      </c>
      <c r="O46" s="38">
        <v>295</v>
      </c>
      <c r="P46" s="38">
        <v>5044</v>
      </c>
      <c r="Q46" s="38">
        <v>280</v>
      </c>
      <c r="S46">
        <v>41</v>
      </c>
      <c r="T46">
        <f t="shared" si="1"/>
        <v>6.1705368965075384E-2</v>
      </c>
      <c r="U46">
        <f t="shared" si="2"/>
        <v>1.8337913065763059E-2</v>
      </c>
      <c r="V46">
        <f t="shared" si="3"/>
        <v>2.0402352036675828E-2</v>
      </c>
      <c r="W46">
        <f t="shared" si="4"/>
        <v>6.52220339706992E-2</v>
      </c>
      <c r="X46">
        <f t="shared" si="5"/>
        <v>5.3718125774164613E-2</v>
      </c>
      <c r="Y46">
        <f t="shared" si="6"/>
        <v>0.11105257912496262</v>
      </c>
      <c r="Z46">
        <f t="shared" si="7"/>
        <v>0.22100886996881985</v>
      </c>
      <c r="AA46">
        <f t="shared" si="8"/>
        <v>5.6850378005894327E-2</v>
      </c>
      <c r="AB46">
        <f t="shared" si="9"/>
        <v>0.131867818955821</v>
      </c>
      <c r="AC46">
        <f t="shared" si="10"/>
        <v>0.17657360080869058</v>
      </c>
      <c r="AD46">
        <f t="shared" si="11"/>
        <v>3.2603898230277491E-3</v>
      </c>
      <c r="AE46">
        <f t="shared" si="12"/>
        <v>4.2000654925466634E-3</v>
      </c>
      <c r="AF46">
        <f t="shared" si="13"/>
        <v>7.1814001167475827E-2</v>
      </c>
      <c r="AG46">
        <f t="shared" si="14"/>
        <v>3.9865028403832737E-3</v>
      </c>
    </row>
    <row r="47" spans="1:33">
      <c r="A47" s="36">
        <f t="shared" si="15"/>
        <v>2022</v>
      </c>
      <c r="B47" s="36">
        <f t="shared" si="16"/>
        <v>42</v>
      </c>
      <c r="C47" s="37">
        <v>68330</v>
      </c>
      <c r="D47" s="38">
        <v>4058</v>
      </c>
      <c r="E47" s="38">
        <v>1266</v>
      </c>
      <c r="F47" s="38">
        <v>1453</v>
      </c>
      <c r="G47" s="38">
        <v>4538</v>
      </c>
      <c r="H47" s="38">
        <v>3644</v>
      </c>
      <c r="I47" s="38">
        <v>7739</v>
      </c>
      <c r="J47" s="38">
        <v>14985</v>
      </c>
      <c r="K47" s="38">
        <v>3928</v>
      </c>
      <c r="L47" s="38">
        <v>8871</v>
      </c>
      <c r="M47" s="38">
        <v>12318</v>
      </c>
      <c r="N47" s="38">
        <v>230</v>
      </c>
      <c r="O47" s="38">
        <v>282</v>
      </c>
      <c r="P47" s="38">
        <v>4722</v>
      </c>
      <c r="Q47" s="38">
        <v>296</v>
      </c>
      <c r="S47">
        <v>42</v>
      </c>
      <c r="T47">
        <f t="shared" si="1"/>
        <v>5.938826284208986E-2</v>
      </c>
      <c r="U47">
        <f t="shared" si="2"/>
        <v>1.8527733060149276E-2</v>
      </c>
      <c r="V47">
        <f t="shared" si="3"/>
        <v>2.1264451924484121E-2</v>
      </c>
      <c r="W47">
        <f t="shared" si="4"/>
        <v>6.6412995755890533E-2</v>
      </c>
      <c r="X47">
        <f t="shared" si="5"/>
        <v>5.3329430703936774E-2</v>
      </c>
      <c r="Y47">
        <f t="shared" si="6"/>
        <v>0.11325918337479877</v>
      </c>
      <c r="Z47">
        <f t="shared" si="7"/>
        <v>0.21930338065271476</v>
      </c>
      <c r="AA47">
        <f t="shared" si="8"/>
        <v>5.7485731011268845E-2</v>
      </c>
      <c r="AB47">
        <f t="shared" si="9"/>
        <v>0.12982584516317869</v>
      </c>
      <c r="AC47">
        <f t="shared" si="10"/>
        <v>0.18027220840040978</v>
      </c>
      <c r="AD47">
        <f t="shared" si="11"/>
        <v>3.3660178545294891E-3</v>
      </c>
      <c r="AE47">
        <f t="shared" si="12"/>
        <v>4.1270305868578959E-3</v>
      </c>
      <c r="AF47">
        <f t="shared" si="13"/>
        <v>6.9105810039514118E-2</v>
      </c>
      <c r="AG47">
        <f t="shared" si="14"/>
        <v>4.3319186301770821E-3</v>
      </c>
    </row>
    <row r="48" spans="1:33">
      <c r="A48" s="36">
        <f t="shared" si="15"/>
        <v>2022</v>
      </c>
      <c r="B48" s="36">
        <f t="shared" si="16"/>
        <v>43</v>
      </c>
      <c r="C48" s="37">
        <v>67126</v>
      </c>
      <c r="D48" s="38">
        <v>4053</v>
      </c>
      <c r="E48" s="38">
        <v>1257</v>
      </c>
      <c r="F48" s="38">
        <v>1474</v>
      </c>
      <c r="G48" s="38">
        <v>4543</v>
      </c>
      <c r="H48" s="38">
        <v>3812</v>
      </c>
      <c r="I48" s="38">
        <v>7507</v>
      </c>
      <c r="J48" s="38">
        <v>14778</v>
      </c>
      <c r="K48" s="38">
        <v>3642</v>
      </c>
      <c r="L48" s="38">
        <v>8443</v>
      </c>
      <c r="M48" s="38">
        <v>11964</v>
      </c>
      <c r="N48" s="38">
        <v>262</v>
      </c>
      <c r="O48" s="38">
        <v>287</v>
      </c>
      <c r="P48" s="38">
        <v>4739</v>
      </c>
      <c r="Q48" s="38">
        <v>365</v>
      </c>
      <c r="S48">
        <v>43</v>
      </c>
      <c r="T48">
        <f t="shared" si="1"/>
        <v>6.0378988767392665E-2</v>
      </c>
      <c r="U48">
        <f t="shared" si="2"/>
        <v>1.8725978011500759E-2</v>
      </c>
      <c r="V48">
        <f t="shared" si="3"/>
        <v>2.1958704525817122E-2</v>
      </c>
      <c r="W48">
        <f t="shared" si="4"/>
        <v>6.7678693799719927E-2</v>
      </c>
      <c r="X48">
        <f t="shared" si="5"/>
        <v>5.6788725680064357E-2</v>
      </c>
      <c r="Y48">
        <f t="shared" si="6"/>
        <v>0.11183446056669546</v>
      </c>
      <c r="Z48">
        <f t="shared" si="7"/>
        <v>0.2201531448321068</v>
      </c>
      <c r="AA48">
        <f t="shared" si="8"/>
        <v>5.4256174954563058E-2</v>
      </c>
      <c r="AB48">
        <f t="shared" si="9"/>
        <v>0.12577838691416143</v>
      </c>
      <c r="AC48">
        <f t="shared" si="10"/>
        <v>0.17823198164645593</v>
      </c>
      <c r="AD48">
        <f t="shared" si="11"/>
        <v>3.903107588713762E-3</v>
      </c>
      <c r="AE48">
        <f t="shared" si="12"/>
        <v>4.2755415189345411E-3</v>
      </c>
      <c r="AF48">
        <f t="shared" si="13"/>
        <v>7.0598575812650832E-2</v>
      </c>
      <c r="AG48">
        <f t="shared" si="14"/>
        <v>5.4375353812233709E-3</v>
      </c>
    </row>
    <row r="49" spans="1:33">
      <c r="A49" s="36">
        <f t="shared" si="15"/>
        <v>2022</v>
      </c>
      <c r="B49" s="36">
        <f t="shared" si="16"/>
        <v>44</v>
      </c>
      <c r="C49" s="37">
        <v>61646</v>
      </c>
      <c r="D49" s="38">
        <v>3889</v>
      </c>
      <c r="E49" s="38">
        <v>1102</v>
      </c>
      <c r="F49" s="38">
        <v>1410</v>
      </c>
      <c r="G49" s="38">
        <v>4006</v>
      </c>
      <c r="H49" s="38">
        <v>3524</v>
      </c>
      <c r="I49" s="38">
        <v>6928</v>
      </c>
      <c r="J49" s="38">
        <v>13212</v>
      </c>
      <c r="K49" s="38">
        <v>3480</v>
      </c>
      <c r="L49" s="38">
        <v>8039</v>
      </c>
      <c r="M49" s="38">
        <v>11010</v>
      </c>
      <c r="N49" s="38">
        <v>218</v>
      </c>
      <c r="O49" s="38">
        <v>246</v>
      </c>
      <c r="P49" s="38">
        <v>4294</v>
      </c>
      <c r="Q49" s="38">
        <v>288</v>
      </c>
      <c r="S49">
        <v>44</v>
      </c>
      <c r="T49">
        <f t="shared" si="1"/>
        <v>6.308600720241378E-2</v>
      </c>
      <c r="U49">
        <f t="shared" si="2"/>
        <v>1.7876261233494468E-2</v>
      </c>
      <c r="V49">
        <f t="shared" si="3"/>
        <v>2.2872530253382213E-2</v>
      </c>
      <c r="W49">
        <f t="shared" si="4"/>
        <v>6.4983940563864653E-2</v>
      </c>
      <c r="X49">
        <f t="shared" si="5"/>
        <v>5.7165103980793566E-2</v>
      </c>
      <c r="Y49">
        <f t="shared" si="6"/>
        <v>0.11238360964215034</v>
      </c>
      <c r="Z49">
        <f t="shared" si="7"/>
        <v>0.21432047496998993</v>
      </c>
      <c r="AA49">
        <f t="shared" si="8"/>
        <v>5.6451351263666745E-2</v>
      </c>
      <c r="AB49">
        <f t="shared" si="9"/>
        <v>0.13040586574960256</v>
      </c>
      <c r="AC49">
        <f t="shared" si="10"/>
        <v>0.17860039580832496</v>
      </c>
      <c r="AD49">
        <f t="shared" si="11"/>
        <v>3.5363202803101578E-3</v>
      </c>
      <c r="AE49">
        <f t="shared" si="12"/>
        <v>3.9905265548454078E-3</v>
      </c>
      <c r="AF49">
        <f t="shared" si="13"/>
        <v>6.9655776530512928E-2</v>
      </c>
      <c r="AG49">
        <f t="shared" si="14"/>
        <v>4.6718359666482823E-3</v>
      </c>
    </row>
    <row r="50" spans="1:33">
      <c r="A50" s="36">
        <f t="shared" si="15"/>
        <v>2022</v>
      </c>
      <c r="B50" s="36">
        <f t="shared" si="16"/>
        <v>45</v>
      </c>
      <c r="C50" s="37">
        <v>60810</v>
      </c>
      <c r="D50" s="38">
        <v>3764</v>
      </c>
      <c r="E50" s="38">
        <v>1174</v>
      </c>
      <c r="F50" s="38">
        <v>1318</v>
      </c>
      <c r="G50" s="38">
        <v>4085</v>
      </c>
      <c r="H50" s="38">
        <v>3592</v>
      </c>
      <c r="I50" s="38">
        <v>7016</v>
      </c>
      <c r="J50" s="38">
        <v>12863</v>
      </c>
      <c r="K50" s="38">
        <v>3505</v>
      </c>
      <c r="L50" s="38">
        <v>7585</v>
      </c>
      <c r="M50" s="38">
        <v>10770</v>
      </c>
      <c r="N50" s="38">
        <v>220</v>
      </c>
      <c r="O50" s="38">
        <v>322</v>
      </c>
      <c r="P50" s="38">
        <v>4295</v>
      </c>
      <c r="Q50" s="38">
        <v>301</v>
      </c>
      <c r="S50">
        <v>45</v>
      </c>
      <c r="T50">
        <f t="shared" si="1"/>
        <v>6.1897714191744779E-2</v>
      </c>
      <c r="U50">
        <f t="shared" si="2"/>
        <v>1.9306035191580331E-2</v>
      </c>
      <c r="V50">
        <f t="shared" si="3"/>
        <v>2.1674066765334649E-2</v>
      </c>
      <c r="W50">
        <f t="shared" si="4"/>
        <v>6.7176451241572108E-2</v>
      </c>
      <c r="X50">
        <f t="shared" si="5"/>
        <v>5.9069232034204902E-2</v>
      </c>
      <c r="Y50">
        <f t="shared" si="6"/>
        <v>0.11537576056569643</v>
      </c>
      <c r="Z50">
        <f t="shared" si="7"/>
        <v>0.21152770925834566</v>
      </c>
      <c r="AA50">
        <f t="shared" si="8"/>
        <v>5.7638546291728335E-2</v>
      </c>
      <c r="AB50">
        <f t="shared" si="9"/>
        <v>0.12473277421476731</v>
      </c>
      <c r="AC50">
        <f t="shared" si="10"/>
        <v>0.17710902812037493</v>
      </c>
      <c r="AD50">
        <f t="shared" si="11"/>
        <v>3.6178260154579841E-3</v>
      </c>
      <c r="AE50">
        <f t="shared" si="12"/>
        <v>5.295181713533958E-3</v>
      </c>
      <c r="AF50">
        <f t="shared" si="13"/>
        <v>7.0629830619963821E-2</v>
      </c>
      <c r="AG50">
        <f t="shared" si="14"/>
        <v>4.9498437756947868E-3</v>
      </c>
    </row>
    <row r="51" spans="1:33">
      <c r="A51" s="36">
        <f t="shared" si="15"/>
        <v>2022</v>
      </c>
      <c r="B51" s="36">
        <f t="shared" si="16"/>
        <v>46</v>
      </c>
      <c r="C51" s="37">
        <v>64373</v>
      </c>
      <c r="D51" s="38">
        <v>4175</v>
      </c>
      <c r="E51" s="38">
        <v>1277</v>
      </c>
      <c r="F51" s="38">
        <v>1503</v>
      </c>
      <c r="G51" s="38">
        <v>4406</v>
      </c>
      <c r="H51" s="38">
        <v>3725</v>
      </c>
      <c r="I51" s="38">
        <v>7137</v>
      </c>
      <c r="J51" s="38">
        <v>13550</v>
      </c>
      <c r="K51" s="38">
        <v>3824</v>
      </c>
      <c r="L51" s="38">
        <v>8292</v>
      </c>
      <c r="M51" s="38">
        <v>11046</v>
      </c>
      <c r="N51" s="38">
        <v>248</v>
      </c>
      <c r="O51" s="38">
        <v>270</v>
      </c>
      <c r="P51" s="38">
        <v>4586</v>
      </c>
      <c r="Q51" s="38">
        <v>334</v>
      </c>
      <c r="S51">
        <v>46</v>
      </c>
      <c r="T51">
        <f t="shared" si="1"/>
        <v>6.4856383887654759E-2</v>
      </c>
      <c r="U51">
        <f t="shared" si="2"/>
        <v>1.9837509514858714E-2</v>
      </c>
      <c r="V51">
        <f t="shared" si="3"/>
        <v>2.3348298199555716E-2</v>
      </c>
      <c r="W51">
        <f t="shared" si="4"/>
        <v>6.8444844888384884E-2</v>
      </c>
      <c r="X51">
        <f t="shared" si="5"/>
        <v>5.786587544467401E-2</v>
      </c>
      <c r="Y51">
        <f t="shared" si="6"/>
        <v>0.11086946390567474</v>
      </c>
      <c r="Z51">
        <f t="shared" si="7"/>
        <v>0.21049197644975379</v>
      </c>
      <c r="AA51">
        <f t="shared" si="8"/>
        <v>5.9403787302129772E-2</v>
      </c>
      <c r="AB51">
        <f t="shared" si="9"/>
        <v>0.12881176890932533</v>
      </c>
      <c r="AC51">
        <f t="shared" si="10"/>
        <v>0.17159368058036756</v>
      </c>
      <c r="AD51">
        <f t="shared" si="11"/>
        <v>3.852546875242726E-3</v>
      </c>
      <c r="AE51">
        <f t="shared" si="12"/>
        <v>4.1943050657884517E-3</v>
      </c>
      <c r="AF51">
        <f t="shared" si="13"/>
        <v>7.1241048265577187E-2</v>
      </c>
      <c r="AG51">
        <f t="shared" si="14"/>
        <v>5.1885107110123813E-3</v>
      </c>
    </row>
    <row r="52" spans="1:33">
      <c r="A52" s="36">
        <f t="shared" si="15"/>
        <v>2022</v>
      </c>
      <c r="B52" s="36">
        <f t="shared" si="16"/>
        <v>47</v>
      </c>
      <c r="C52" s="37">
        <v>65013</v>
      </c>
      <c r="D52" s="38">
        <v>4358</v>
      </c>
      <c r="E52" s="38">
        <v>1403</v>
      </c>
      <c r="F52" s="38">
        <v>1561</v>
      </c>
      <c r="G52" s="38">
        <v>4396</v>
      </c>
      <c r="H52" s="38">
        <v>3911</v>
      </c>
      <c r="I52" s="38">
        <v>7240</v>
      </c>
      <c r="J52" s="38">
        <v>13361</v>
      </c>
      <c r="K52" s="38">
        <v>3870</v>
      </c>
      <c r="L52" s="38">
        <v>8449</v>
      </c>
      <c r="M52" s="38">
        <v>11063</v>
      </c>
      <c r="N52" s="38">
        <v>263</v>
      </c>
      <c r="O52" s="38">
        <v>291</v>
      </c>
      <c r="P52" s="38">
        <v>4545</v>
      </c>
      <c r="Q52" s="38">
        <v>302</v>
      </c>
      <c r="S52">
        <v>47</v>
      </c>
      <c r="T52">
        <f t="shared" si="1"/>
        <v>6.7032747296694506E-2</v>
      </c>
      <c r="U52">
        <f t="shared" si="2"/>
        <v>2.1580299324750436E-2</v>
      </c>
      <c r="V52">
        <f t="shared" si="3"/>
        <v>2.4010582498884839E-2</v>
      </c>
      <c r="W52">
        <f t="shared" si="4"/>
        <v>6.7617245781612906E-2</v>
      </c>
      <c r="X52">
        <f t="shared" si="5"/>
        <v>6.0157199329364898E-2</v>
      </c>
      <c r="Y52">
        <f t="shared" si="6"/>
        <v>0.11136234291603218</v>
      </c>
      <c r="Z52">
        <f t="shared" si="7"/>
        <v>0.20551274360512514</v>
      </c>
      <c r="AA52">
        <f t="shared" si="8"/>
        <v>5.9526556227216094E-2</v>
      </c>
      <c r="AB52">
        <f t="shared" si="9"/>
        <v>0.12995862365988342</v>
      </c>
      <c r="AC52">
        <f t="shared" si="10"/>
        <v>0.17016596680663867</v>
      </c>
      <c r="AD52">
        <f t="shared" si="11"/>
        <v>4.0453447771984065E-3</v>
      </c>
      <c r="AE52">
        <f t="shared" si="12"/>
        <v>4.476027871348807E-3</v>
      </c>
      <c r="AF52">
        <f t="shared" si="13"/>
        <v>6.9909095104056115E-2</v>
      </c>
      <c r="AG52">
        <f t="shared" si="14"/>
        <v>4.645224801193607E-3</v>
      </c>
    </row>
    <row r="53" spans="1:33">
      <c r="A53" s="36">
        <f t="shared" si="15"/>
        <v>2022</v>
      </c>
      <c r="B53" s="36">
        <f t="shared" si="16"/>
        <v>48</v>
      </c>
      <c r="C53" s="37">
        <v>66593</v>
      </c>
      <c r="D53" s="38">
        <v>4528</v>
      </c>
      <c r="E53" s="38">
        <v>1472</v>
      </c>
      <c r="F53" s="38">
        <v>1710</v>
      </c>
      <c r="G53" s="38">
        <v>4469</v>
      </c>
      <c r="H53" s="38">
        <v>3951</v>
      </c>
      <c r="I53" s="38">
        <v>7483</v>
      </c>
      <c r="J53" s="38">
        <v>13591</v>
      </c>
      <c r="K53" s="38">
        <v>3896</v>
      </c>
      <c r="L53" s="38">
        <v>8524</v>
      </c>
      <c r="M53" s="38">
        <v>11275</v>
      </c>
      <c r="N53" s="38">
        <v>245</v>
      </c>
      <c r="O53" s="38">
        <v>287</v>
      </c>
      <c r="P53" s="38">
        <v>4843</v>
      </c>
      <c r="Q53" s="38">
        <v>319</v>
      </c>
      <c r="S53">
        <v>48</v>
      </c>
      <c r="T53">
        <f t="shared" si="1"/>
        <v>6.7995134623759251E-2</v>
      </c>
      <c r="U53">
        <f t="shared" si="2"/>
        <v>2.2104425390056012E-2</v>
      </c>
      <c r="V53">
        <f t="shared" si="3"/>
        <v>2.5678374603937352E-2</v>
      </c>
      <c r="W53">
        <f t="shared" si="4"/>
        <v>6.7109155616956739E-2</v>
      </c>
      <c r="X53">
        <f t="shared" si="5"/>
        <v>5.9330560269097353E-2</v>
      </c>
      <c r="Y53">
        <f t="shared" si="6"/>
        <v>0.11236916793056327</v>
      </c>
      <c r="Z53">
        <f t="shared" si="7"/>
        <v>0.20409052002462721</v>
      </c>
      <c r="AA53">
        <f t="shared" si="8"/>
        <v>5.8504647635637376E-2</v>
      </c>
      <c r="AB53">
        <f t="shared" si="9"/>
        <v>0.12800144159296023</v>
      </c>
      <c r="AC53">
        <f t="shared" si="10"/>
        <v>0.16931208985929452</v>
      </c>
      <c r="AD53">
        <f t="shared" si="11"/>
        <v>3.6790653672307901E-3</v>
      </c>
      <c r="AE53">
        <f t="shared" si="12"/>
        <v>4.3097622873274968E-3</v>
      </c>
      <c r="AF53">
        <f t="shared" si="13"/>
        <v>7.2725361524484555E-2</v>
      </c>
      <c r="AG53">
        <f t="shared" si="14"/>
        <v>4.790293274067845E-3</v>
      </c>
    </row>
    <row r="54" spans="1:33">
      <c r="A54" s="36">
        <f t="shared" si="15"/>
        <v>2022</v>
      </c>
      <c r="B54" s="36">
        <f t="shared" si="16"/>
        <v>49</v>
      </c>
      <c r="C54" s="37">
        <v>69715</v>
      </c>
      <c r="D54" s="38">
        <v>4695</v>
      </c>
      <c r="E54" s="38">
        <v>1510</v>
      </c>
      <c r="F54" s="38">
        <v>1703</v>
      </c>
      <c r="G54" s="38">
        <v>4728</v>
      </c>
      <c r="H54" s="38">
        <v>4260</v>
      </c>
      <c r="I54" s="38">
        <v>7824</v>
      </c>
      <c r="J54" s="38">
        <v>14222</v>
      </c>
      <c r="K54" s="38">
        <v>4272</v>
      </c>
      <c r="L54" s="38">
        <v>9018</v>
      </c>
      <c r="M54" s="38">
        <v>11412</v>
      </c>
      <c r="N54" s="38">
        <v>293</v>
      </c>
      <c r="O54" s="38">
        <v>333</v>
      </c>
      <c r="P54" s="38">
        <v>5095</v>
      </c>
      <c r="Q54" s="38">
        <v>350</v>
      </c>
      <c r="S54">
        <v>49</v>
      </c>
      <c r="T54">
        <f t="shared" si="1"/>
        <v>6.7345621458796523E-2</v>
      </c>
      <c r="U54">
        <f t="shared" si="2"/>
        <v>2.1659614143297711E-2</v>
      </c>
      <c r="V54">
        <f t="shared" si="3"/>
        <v>2.4428028401348348E-2</v>
      </c>
      <c r="W54">
        <f t="shared" si="4"/>
        <v>6.781897726457721E-2</v>
      </c>
      <c r="X54">
        <f t="shared" si="5"/>
        <v>6.1105931291687586E-2</v>
      </c>
      <c r="Y54">
        <f t="shared" si="6"/>
        <v>0.11222835831600086</v>
      </c>
      <c r="Z54">
        <f t="shared" si="7"/>
        <v>0.20400200817614575</v>
      </c>
      <c r="AA54">
        <f t="shared" si="8"/>
        <v>6.1278060675607829E-2</v>
      </c>
      <c r="AB54">
        <f t="shared" si="9"/>
        <v>0.12935523201606541</v>
      </c>
      <c r="AC54">
        <f t="shared" si="10"/>
        <v>0.16369504410815464</v>
      </c>
      <c r="AD54">
        <f t="shared" si="11"/>
        <v>4.2028257907193575E-3</v>
      </c>
      <c r="AE54">
        <f t="shared" si="12"/>
        <v>4.7765904037868467E-3</v>
      </c>
      <c r="AF54">
        <f t="shared" si="13"/>
        <v>7.3083267589471423E-2</v>
      </c>
      <c r="AG54">
        <f t="shared" si="14"/>
        <v>5.0204403643405292E-3</v>
      </c>
    </row>
    <row r="55" spans="1:33">
      <c r="A55" s="36">
        <f t="shared" si="15"/>
        <v>2022</v>
      </c>
      <c r="B55" s="36">
        <f t="shared" si="16"/>
        <v>50</v>
      </c>
      <c r="C55" s="37">
        <v>73587</v>
      </c>
      <c r="D55" s="38">
        <v>5224</v>
      </c>
      <c r="E55" s="38">
        <v>1694</v>
      </c>
      <c r="F55" s="38">
        <v>1942</v>
      </c>
      <c r="G55" s="38">
        <v>4906</v>
      </c>
      <c r="H55" s="38">
        <v>4431</v>
      </c>
      <c r="I55" s="38">
        <v>7993</v>
      </c>
      <c r="J55" s="38">
        <v>14939</v>
      </c>
      <c r="K55" s="38">
        <v>4567</v>
      </c>
      <c r="L55" s="38">
        <v>9578</v>
      </c>
      <c r="M55" s="38">
        <v>11831</v>
      </c>
      <c r="N55" s="38">
        <v>313</v>
      </c>
      <c r="O55" s="38">
        <v>338</v>
      </c>
      <c r="P55" s="38">
        <v>5411</v>
      </c>
      <c r="Q55" s="38">
        <v>420</v>
      </c>
      <c r="S55">
        <v>50</v>
      </c>
      <c r="T55">
        <f t="shared" si="1"/>
        <v>7.0990800005435742E-2</v>
      </c>
      <c r="U55">
        <f t="shared" si="2"/>
        <v>2.3020370445866797E-2</v>
      </c>
      <c r="V55">
        <f t="shared" si="3"/>
        <v>2.6390530936170793E-2</v>
      </c>
      <c r="W55">
        <f t="shared" si="4"/>
        <v>6.6669384538029813E-2</v>
      </c>
      <c r="X55">
        <f t="shared" si="5"/>
        <v>6.021444005055241E-2</v>
      </c>
      <c r="Y55">
        <f t="shared" si="6"/>
        <v>0.1086197290282251</v>
      </c>
      <c r="Z55">
        <f t="shared" si="7"/>
        <v>0.20301140147036842</v>
      </c>
      <c r="AA55">
        <f t="shared" si="8"/>
        <v>6.206259257749331E-2</v>
      </c>
      <c r="AB55">
        <f t="shared" si="9"/>
        <v>0.13015885958117601</v>
      </c>
      <c r="AC55">
        <f t="shared" si="10"/>
        <v>0.16077568048704255</v>
      </c>
      <c r="AD55">
        <f t="shared" si="11"/>
        <v>4.2534686833272184E-3</v>
      </c>
      <c r="AE55">
        <f t="shared" si="12"/>
        <v>4.5932026037207663E-3</v>
      </c>
      <c r="AF55">
        <f t="shared" si="13"/>
        <v>7.3532009729979475E-2</v>
      </c>
      <c r="AG55">
        <f t="shared" si="14"/>
        <v>5.7075298626116022E-3</v>
      </c>
    </row>
    <row r="56" spans="1:33">
      <c r="A56" s="36">
        <f t="shared" si="15"/>
        <v>2022</v>
      </c>
      <c r="B56" s="36">
        <f t="shared" si="16"/>
        <v>51</v>
      </c>
      <c r="C56" s="37">
        <v>77225</v>
      </c>
      <c r="D56" s="38">
        <v>5365</v>
      </c>
      <c r="E56" s="38">
        <v>1755</v>
      </c>
      <c r="F56" s="38">
        <v>2130</v>
      </c>
      <c r="G56" s="38">
        <v>5387</v>
      </c>
      <c r="H56" s="38">
        <v>4608</v>
      </c>
      <c r="I56" s="38">
        <v>8445</v>
      </c>
      <c r="J56" s="38">
        <v>15600</v>
      </c>
      <c r="K56" s="38">
        <v>4783</v>
      </c>
      <c r="L56" s="38">
        <v>10133</v>
      </c>
      <c r="M56" s="38">
        <v>12292</v>
      </c>
      <c r="N56" s="38">
        <v>311</v>
      </c>
      <c r="O56" s="38">
        <v>325</v>
      </c>
      <c r="P56" s="38">
        <v>5723</v>
      </c>
      <c r="Q56" s="38">
        <v>368</v>
      </c>
      <c r="S56">
        <v>51</v>
      </c>
      <c r="T56">
        <f t="shared" si="1"/>
        <v>6.9472321139527352E-2</v>
      </c>
      <c r="U56">
        <f t="shared" si="2"/>
        <v>2.2725801230171577E-2</v>
      </c>
      <c r="V56">
        <f t="shared" si="3"/>
        <v>2.7581741663968921E-2</v>
      </c>
      <c r="W56">
        <f t="shared" si="4"/>
        <v>6.9757202978310132E-2</v>
      </c>
      <c r="X56">
        <f t="shared" si="5"/>
        <v>5.966979605050178E-2</v>
      </c>
      <c r="Y56">
        <f t="shared" si="6"/>
        <v>0.10935577856911621</v>
      </c>
      <c r="Z56">
        <f t="shared" si="7"/>
        <v>0.20200712204596957</v>
      </c>
      <c r="AA56">
        <f t="shared" si="8"/>
        <v>6.1935901586273878E-2</v>
      </c>
      <c r="AB56">
        <f t="shared" si="9"/>
        <v>0.13121398510844934</v>
      </c>
      <c r="AC56">
        <f t="shared" si="10"/>
        <v>0.15917125283263192</v>
      </c>
      <c r="AD56">
        <f t="shared" si="11"/>
        <v>4.027193266429265E-3</v>
      </c>
      <c r="AE56">
        <f t="shared" si="12"/>
        <v>4.2084817092910331E-3</v>
      </c>
      <c r="AF56">
        <f t="shared" si="13"/>
        <v>7.410812560699255E-2</v>
      </c>
      <c r="AG56">
        <f t="shared" si="14"/>
        <v>4.7652962123664617E-3</v>
      </c>
    </row>
    <row r="57" spans="1:33">
      <c r="A57" s="36">
        <f t="shared" si="15"/>
        <v>2022</v>
      </c>
      <c r="B57" s="36">
        <f t="shared" si="16"/>
        <v>52</v>
      </c>
      <c r="C57" s="37">
        <v>76987</v>
      </c>
      <c r="D57" s="38">
        <v>5434</v>
      </c>
      <c r="E57" s="38">
        <v>1763</v>
      </c>
      <c r="F57" s="38">
        <v>2137</v>
      </c>
      <c r="G57" s="38">
        <v>5338</v>
      </c>
      <c r="H57" s="38">
        <v>4726</v>
      </c>
      <c r="I57" s="38">
        <v>8168</v>
      </c>
      <c r="J57" s="38">
        <v>15803</v>
      </c>
      <c r="K57" s="38">
        <v>4891</v>
      </c>
      <c r="L57" s="38">
        <v>10204</v>
      </c>
      <c r="M57" s="38">
        <v>11870</v>
      </c>
      <c r="N57" s="38">
        <v>364</v>
      </c>
      <c r="O57" s="38">
        <v>330</v>
      </c>
      <c r="P57" s="38">
        <v>5562</v>
      </c>
      <c r="Q57" s="38">
        <v>397</v>
      </c>
      <c r="S57">
        <v>52</v>
      </c>
      <c r="T57">
        <f t="shared" si="1"/>
        <v>7.0583345240105469E-2</v>
      </c>
      <c r="U57">
        <f t="shared" si="2"/>
        <v>2.289997012482627E-2</v>
      </c>
      <c r="V57">
        <f t="shared" si="3"/>
        <v>2.7757933157546079E-2</v>
      </c>
      <c r="W57">
        <f t="shared" si="4"/>
        <v>6.9336381467000927E-2</v>
      </c>
      <c r="X57">
        <f t="shared" si="5"/>
        <v>6.1386987413459417E-2</v>
      </c>
      <c r="Y57">
        <f t="shared" si="6"/>
        <v>0.10609583436164548</v>
      </c>
      <c r="Z57">
        <f t="shared" si="7"/>
        <v>0.20526842194136671</v>
      </c>
      <c r="AA57">
        <f t="shared" si="8"/>
        <v>6.3530206398482864E-2</v>
      </c>
      <c r="AB57">
        <f t="shared" si="9"/>
        <v>0.1325418577162378</v>
      </c>
      <c r="AC57">
        <f t="shared" si="10"/>
        <v>0.1541818748619897</v>
      </c>
      <c r="AD57">
        <f t="shared" si="11"/>
        <v>4.7280709730214195E-3</v>
      </c>
      <c r="AE57">
        <f t="shared" si="12"/>
        <v>4.2864379700468906E-3</v>
      </c>
      <c r="AF57">
        <f t="shared" si="13"/>
        <v>7.2245963604244873E-2</v>
      </c>
      <c r="AG57">
        <f t="shared" si="14"/>
        <v>5.1567147700261086E-3</v>
      </c>
    </row>
    <row r="58" spans="1:33">
      <c r="A58" s="36">
        <f t="shared" si="15"/>
        <v>2022</v>
      </c>
      <c r="B58" s="36">
        <f t="shared" si="16"/>
        <v>53</v>
      </c>
      <c r="C58" s="37">
        <v>79622</v>
      </c>
      <c r="D58" s="38">
        <v>5592</v>
      </c>
      <c r="E58" s="38">
        <v>1881</v>
      </c>
      <c r="F58" s="38">
        <v>2283</v>
      </c>
      <c r="G58" s="38">
        <v>5561</v>
      </c>
      <c r="H58" s="38">
        <v>4712</v>
      </c>
      <c r="I58" s="38">
        <v>8426</v>
      </c>
      <c r="J58" s="38">
        <v>16327</v>
      </c>
      <c r="K58" s="38">
        <v>4966</v>
      </c>
      <c r="L58" s="38">
        <v>10482</v>
      </c>
      <c r="M58" s="38">
        <v>12320</v>
      </c>
      <c r="N58" s="38">
        <v>345</v>
      </c>
      <c r="O58" s="38">
        <v>330</v>
      </c>
      <c r="P58" s="38">
        <v>5943</v>
      </c>
      <c r="Q58" s="38">
        <v>454</v>
      </c>
      <c r="S58">
        <v>53</v>
      </c>
      <c r="T58">
        <f t="shared" si="1"/>
        <v>7.0231845469845011E-2</v>
      </c>
      <c r="U58">
        <f t="shared" si="2"/>
        <v>2.3624123985833061E-2</v>
      </c>
      <c r="V58">
        <f t="shared" si="3"/>
        <v>2.867297982969531E-2</v>
      </c>
      <c r="W58">
        <f t="shared" si="4"/>
        <v>6.9842505840094452E-2</v>
      </c>
      <c r="X58">
        <f t="shared" si="5"/>
        <v>5.9179623722086863E-2</v>
      </c>
      <c r="Y58">
        <f t="shared" si="6"/>
        <v>0.10582502323478436</v>
      </c>
      <c r="Z58">
        <f t="shared" si="7"/>
        <v>0.20505639144959936</v>
      </c>
      <c r="AA58">
        <f t="shared" si="8"/>
        <v>6.236969681746251E-2</v>
      </c>
      <c r="AB58">
        <f t="shared" si="9"/>
        <v>0.13164703222727386</v>
      </c>
      <c r="AC58">
        <f t="shared" si="10"/>
        <v>0.15473110446861421</v>
      </c>
      <c r="AD58">
        <f t="shared" si="11"/>
        <v>4.332973298837005E-3</v>
      </c>
      <c r="AE58">
        <f t="shared" si="12"/>
        <v>4.144583155409309E-3</v>
      </c>
      <c r="AF58">
        <f t="shared" si="13"/>
        <v>7.4640174826053104E-2</v>
      </c>
      <c r="AG58">
        <f t="shared" si="14"/>
        <v>5.7019416744115946E-3</v>
      </c>
    </row>
    <row r="59" spans="1:33">
      <c r="A59" s="36">
        <f t="shared" si="15"/>
        <v>2022</v>
      </c>
      <c r="B59" s="36">
        <f t="shared" si="16"/>
        <v>54</v>
      </c>
      <c r="C59" s="37">
        <v>80833</v>
      </c>
      <c r="D59" s="38">
        <v>5745</v>
      </c>
      <c r="E59" s="38">
        <v>1949</v>
      </c>
      <c r="F59" s="38">
        <v>2299</v>
      </c>
      <c r="G59" s="38">
        <v>5620</v>
      </c>
      <c r="H59" s="38">
        <v>4847</v>
      </c>
      <c r="I59" s="38">
        <v>8209</v>
      </c>
      <c r="J59" s="38">
        <v>16613</v>
      </c>
      <c r="K59" s="38">
        <v>5302</v>
      </c>
      <c r="L59" s="38">
        <v>10555</v>
      </c>
      <c r="M59" s="38">
        <v>12537</v>
      </c>
      <c r="N59" s="38">
        <v>356</v>
      </c>
      <c r="O59" s="38">
        <v>342</v>
      </c>
      <c r="P59" s="38">
        <v>5992</v>
      </c>
      <c r="Q59" s="38">
        <v>467</v>
      </c>
      <c r="S59">
        <v>54</v>
      </c>
      <c r="T59">
        <f t="shared" si="1"/>
        <v>7.1072458030754765E-2</v>
      </c>
      <c r="U59">
        <f t="shared" si="2"/>
        <v>2.4111439634802619E-2</v>
      </c>
      <c r="V59">
        <f t="shared" si="3"/>
        <v>2.844135439733772E-2</v>
      </c>
      <c r="W59">
        <f t="shared" si="4"/>
        <v>6.9526059901277942E-2</v>
      </c>
      <c r="X59">
        <f t="shared" si="5"/>
        <v>5.9963133868593275E-2</v>
      </c>
      <c r="Y59">
        <f t="shared" si="6"/>
        <v>0.1015550579590019</v>
      </c>
      <c r="Z59">
        <f t="shared" si="7"/>
        <v>0.20552249699998762</v>
      </c>
      <c r="AA59">
        <f t="shared" si="8"/>
        <v>6.5592023059888913E-2</v>
      </c>
      <c r="AB59">
        <f t="shared" si="9"/>
        <v>0.13057785805302291</v>
      </c>
      <c r="AC59">
        <f t="shared" si="10"/>
        <v>0.15509754679400739</v>
      </c>
      <c r="AD59">
        <f t="shared" si="11"/>
        <v>4.4041418727499906E-3</v>
      </c>
      <c r="AE59">
        <f t="shared" si="12"/>
        <v>4.2309452822485863E-3</v>
      </c>
      <c r="AF59">
        <f t="shared" si="13"/>
        <v>7.4128140734600972E-2</v>
      </c>
      <c r="AG59">
        <f t="shared" si="14"/>
        <v>5.7773434117254089E-3</v>
      </c>
    </row>
    <row r="60" spans="1:33">
      <c r="A60" s="36">
        <f t="shared" si="15"/>
        <v>2022</v>
      </c>
      <c r="B60" s="36">
        <f t="shared" si="16"/>
        <v>55</v>
      </c>
      <c r="C60" s="37">
        <v>81023</v>
      </c>
      <c r="D60" s="38">
        <v>5905</v>
      </c>
      <c r="E60" s="38">
        <v>1976</v>
      </c>
      <c r="F60" s="38">
        <v>2373</v>
      </c>
      <c r="G60" s="38">
        <v>5595</v>
      </c>
      <c r="H60" s="38">
        <v>4789</v>
      </c>
      <c r="I60" s="38">
        <v>8415</v>
      </c>
      <c r="J60" s="38">
        <v>16597</v>
      </c>
      <c r="K60" s="38">
        <v>5284</v>
      </c>
      <c r="L60" s="38">
        <v>10623</v>
      </c>
      <c r="M60" s="38">
        <v>12234</v>
      </c>
      <c r="N60" s="38">
        <v>387</v>
      </c>
      <c r="O60" s="38">
        <v>356</v>
      </c>
      <c r="P60" s="38">
        <v>6051</v>
      </c>
      <c r="Q60" s="38">
        <v>438</v>
      </c>
      <c r="S60">
        <v>55</v>
      </c>
      <c r="T60">
        <f t="shared" si="1"/>
        <v>7.2880540093553686E-2</v>
      </c>
      <c r="U60">
        <f t="shared" si="2"/>
        <v>2.4388136701924145E-2</v>
      </c>
      <c r="V60">
        <f t="shared" si="3"/>
        <v>2.9287979956308701E-2</v>
      </c>
      <c r="W60">
        <f t="shared" si="4"/>
        <v>6.9054466015822671E-2</v>
      </c>
      <c r="X60">
        <f t="shared" si="5"/>
        <v>5.9106673413722027E-2</v>
      </c>
      <c r="Y60">
        <f t="shared" si="6"/>
        <v>0.10385939794873061</v>
      </c>
      <c r="Z60">
        <f t="shared" si="7"/>
        <v>0.20484306925194082</v>
      </c>
      <c r="AA60">
        <f t="shared" si="8"/>
        <v>6.5216049763647366E-2</v>
      </c>
      <c r="AB60">
        <f t="shared" si="9"/>
        <v>0.13111091912173087</v>
      </c>
      <c r="AC60">
        <f t="shared" si="10"/>
        <v>0.15099416215148784</v>
      </c>
      <c r="AD60">
        <f t="shared" si="11"/>
        <v>4.7764215099416214E-3</v>
      </c>
      <c r="AE60">
        <f t="shared" si="12"/>
        <v>4.3938141021685204E-3</v>
      </c>
      <c r="AF60">
        <f t="shared" si="13"/>
        <v>7.4682497562420541E-2</v>
      </c>
      <c r="AG60">
        <f t="shared" si="14"/>
        <v>5.4058724066005951E-3</v>
      </c>
    </row>
    <row r="61" spans="1:33">
      <c r="A61" s="36">
        <f t="shared" si="15"/>
        <v>2022</v>
      </c>
      <c r="B61" s="36">
        <f t="shared" si="16"/>
        <v>56</v>
      </c>
      <c r="C61" s="37">
        <v>80513</v>
      </c>
      <c r="D61" s="38">
        <v>5866</v>
      </c>
      <c r="E61" s="38">
        <v>2009</v>
      </c>
      <c r="F61" s="38">
        <v>2408</v>
      </c>
      <c r="G61" s="38">
        <v>5658</v>
      </c>
      <c r="H61" s="38">
        <v>4690</v>
      </c>
      <c r="I61" s="38">
        <v>8296</v>
      </c>
      <c r="J61" s="38">
        <v>16624</v>
      </c>
      <c r="K61" s="38">
        <v>5364</v>
      </c>
      <c r="L61" s="38">
        <v>10359</v>
      </c>
      <c r="M61" s="38">
        <v>11933</v>
      </c>
      <c r="N61" s="38">
        <v>396</v>
      </c>
      <c r="O61" s="38">
        <v>351</v>
      </c>
      <c r="P61" s="38">
        <v>6130</v>
      </c>
      <c r="Q61" s="38">
        <v>429</v>
      </c>
      <c r="S61">
        <v>56</v>
      </c>
      <c r="T61">
        <f t="shared" si="1"/>
        <v>7.2857799361593784E-2</v>
      </c>
      <c r="U61">
        <f t="shared" si="2"/>
        <v>2.4952492144125794E-2</v>
      </c>
      <c r="V61">
        <f t="shared" si="3"/>
        <v>2.9908213580415587E-2</v>
      </c>
      <c r="W61">
        <f t="shared" si="4"/>
        <v>7.0274365630395089E-2</v>
      </c>
      <c r="X61">
        <f t="shared" si="5"/>
        <v>5.825146249673966E-2</v>
      </c>
      <c r="Y61">
        <f t="shared" si="6"/>
        <v>0.10303926074050153</v>
      </c>
      <c r="Z61">
        <f t="shared" si="7"/>
        <v>0.20647597282426441</v>
      </c>
      <c r="AA61">
        <f t="shared" si="8"/>
        <v>6.6622781414181556E-2</v>
      </c>
      <c r="AB61">
        <f t="shared" si="9"/>
        <v>0.12866245202638082</v>
      </c>
      <c r="AC61">
        <f t="shared" si="10"/>
        <v>0.14821208997304783</v>
      </c>
      <c r="AD61">
        <f t="shared" si="11"/>
        <v>4.9184603728590418E-3</v>
      </c>
      <c r="AE61">
        <f t="shared" si="12"/>
        <v>4.3595444213977864E-3</v>
      </c>
      <c r="AF61">
        <f t="shared" si="13"/>
        <v>7.6136772943499811E-2</v>
      </c>
      <c r="AG61">
        <f t="shared" si="14"/>
        <v>5.3283320705972952E-3</v>
      </c>
    </row>
    <row r="62" spans="1:33">
      <c r="A62" s="36">
        <f t="shared" si="15"/>
        <v>2022</v>
      </c>
      <c r="B62" s="36">
        <f t="shared" si="16"/>
        <v>57</v>
      </c>
      <c r="C62" s="37">
        <v>83155</v>
      </c>
      <c r="D62" s="38">
        <v>6208</v>
      </c>
      <c r="E62" s="38">
        <v>2019</v>
      </c>
      <c r="F62" s="38">
        <v>2578</v>
      </c>
      <c r="G62" s="38">
        <v>5873</v>
      </c>
      <c r="H62" s="38">
        <v>4887</v>
      </c>
      <c r="I62" s="38">
        <v>8498</v>
      </c>
      <c r="J62" s="38">
        <v>17017</v>
      </c>
      <c r="K62" s="38">
        <v>5663</v>
      </c>
      <c r="L62" s="38">
        <v>10441</v>
      </c>
      <c r="M62" s="38">
        <v>12427</v>
      </c>
      <c r="N62" s="38">
        <v>368</v>
      </c>
      <c r="O62" s="38">
        <v>337</v>
      </c>
      <c r="P62" s="38">
        <v>6382</v>
      </c>
      <c r="Q62" s="38">
        <v>457</v>
      </c>
      <c r="S62">
        <v>57</v>
      </c>
      <c r="T62">
        <f t="shared" si="1"/>
        <v>7.4655763333533756E-2</v>
      </c>
      <c r="U62">
        <f t="shared" si="2"/>
        <v>2.4279959112500752E-2</v>
      </c>
      <c r="V62">
        <f t="shared" si="3"/>
        <v>3.1002345018339247E-2</v>
      </c>
      <c r="W62">
        <f t="shared" si="4"/>
        <v>7.0627142084059888E-2</v>
      </c>
      <c r="X62">
        <f t="shared" si="5"/>
        <v>5.8769767302026335E-2</v>
      </c>
      <c r="Y62">
        <f t="shared" si="6"/>
        <v>0.10219469665083278</v>
      </c>
      <c r="Z62">
        <f t="shared" si="7"/>
        <v>0.20464193373819975</v>
      </c>
      <c r="AA62">
        <f t="shared" si="8"/>
        <v>6.8101737718718053E-2</v>
      </c>
      <c r="AB62">
        <f t="shared" si="9"/>
        <v>0.12556069989778126</v>
      </c>
      <c r="AC62">
        <f t="shared" si="10"/>
        <v>0.14944380975287114</v>
      </c>
      <c r="AD62">
        <f t="shared" si="11"/>
        <v>4.4254705068847329E-3</v>
      </c>
      <c r="AE62">
        <f t="shared" si="12"/>
        <v>4.0526727196199871E-3</v>
      </c>
      <c r="AF62">
        <f t="shared" si="13"/>
        <v>7.674824123624556E-2</v>
      </c>
      <c r="AG62">
        <f t="shared" si="14"/>
        <v>5.4957609283867474E-3</v>
      </c>
    </row>
    <row r="63" spans="1:33">
      <c r="A63" s="36">
        <f t="shared" si="15"/>
        <v>2022</v>
      </c>
      <c r="B63" s="36">
        <f t="shared" si="16"/>
        <v>58</v>
      </c>
      <c r="C63" s="37">
        <v>82502</v>
      </c>
      <c r="D63" s="38">
        <v>6066</v>
      </c>
      <c r="E63" s="38">
        <v>1976</v>
      </c>
      <c r="F63" s="38">
        <v>2614</v>
      </c>
      <c r="G63" s="38">
        <v>5711</v>
      </c>
      <c r="H63" s="38">
        <v>4728</v>
      </c>
      <c r="I63" s="38">
        <v>8553</v>
      </c>
      <c r="J63" s="38">
        <v>17299</v>
      </c>
      <c r="K63" s="38">
        <v>5589</v>
      </c>
      <c r="L63" s="38">
        <v>10576</v>
      </c>
      <c r="M63" s="38">
        <v>11999</v>
      </c>
      <c r="N63" s="38">
        <v>377</v>
      </c>
      <c r="O63" s="38">
        <v>361</v>
      </c>
      <c r="P63" s="38">
        <v>6204</v>
      </c>
      <c r="Q63" s="38">
        <v>449</v>
      </c>
      <c r="S63">
        <v>58</v>
      </c>
      <c r="T63">
        <f t="shared" si="1"/>
        <v>7.3525490291144455E-2</v>
      </c>
      <c r="U63">
        <f t="shared" si="2"/>
        <v>2.3950934522799446E-2</v>
      </c>
      <c r="V63">
        <f t="shared" si="3"/>
        <v>3.1684080385930041E-2</v>
      </c>
      <c r="W63">
        <f t="shared" si="4"/>
        <v>6.9222564301471473E-2</v>
      </c>
      <c r="X63">
        <f t="shared" si="5"/>
        <v>5.7307701631475604E-2</v>
      </c>
      <c r="Y63">
        <f t="shared" si="6"/>
        <v>0.10367021405541683</v>
      </c>
      <c r="Z63">
        <f t="shared" si="7"/>
        <v>0.20967976533902208</v>
      </c>
      <c r="AA63">
        <f t="shared" si="8"/>
        <v>6.7743812271217674E-2</v>
      </c>
      <c r="AB63">
        <f t="shared" si="9"/>
        <v>0.12819083173741241</v>
      </c>
      <c r="AC63">
        <f t="shared" si="10"/>
        <v>0.14543889845094665</v>
      </c>
      <c r="AD63">
        <f t="shared" si="11"/>
        <v>4.569586191849895E-3</v>
      </c>
      <c r="AE63">
        <f t="shared" si="12"/>
        <v>4.3756514993575912E-3</v>
      </c>
      <c r="AF63">
        <f t="shared" si="13"/>
        <v>7.5198177013890574E-2</v>
      </c>
      <c r="AG63">
        <f t="shared" si="14"/>
        <v>5.4422923080652587E-3</v>
      </c>
    </row>
    <row r="64" spans="1:33">
      <c r="A64" s="36">
        <f t="shared" si="15"/>
        <v>2022</v>
      </c>
      <c r="B64" s="36">
        <f t="shared" si="16"/>
        <v>59</v>
      </c>
      <c r="C64" s="37">
        <v>81298</v>
      </c>
      <c r="D64" s="38">
        <v>5886</v>
      </c>
      <c r="E64" s="38">
        <v>2032</v>
      </c>
      <c r="F64" s="38">
        <v>2608</v>
      </c>
      <c r="G64" s="38">
        <v>5585</v>
      </c>
      <c r="H64" s="38">
        <v>4688</v>
      </c>
      <c r="I64" s="38">
        <v>8485</v>
      </c>
      <c r="J64" s="38">
        <v>16698</v>
      </c>
      <c r="K64" s="38">
        <v>5407</v>
      </c>
      <c r="L64" s="38">
        <v>10230</v>
      </c>
      <c r="M64" s="38">
        <v>12083</v>
      </c>
      <c r="N64" s="38">
        <v>385</v>
      </c>
      <c r="O64" s="38">
        <v>345</v>
      </c>
      <c r="P64" s="38">
        <v>6412</v>
      </c>
      <c r="Q64" s="38">
        <v>454</v>
      </c>
      <c r="S64">
        <v>59</v>
      </c>
      <c r="T64">
        <f t="shared" si="1"/>
        <v>7.2400305050554753E-2</v>
      </c>
      <c r="U64">
        <f t="shared" si="2"/>
        <v>2.4994464808482372E-2</v>
      </c>
      <c r="V64">
        <f t="shared" si="3"/>
        <v>3.2079509951044305E-2</v>
      </c>
      <c r="W64">
        <f t="shared" si="4"/>
        <v>6.8697876946542349E-2</v>
      </c>
      <c r="X64">
        <f t="shared" si="5"/>
        <v>5.7664395188073508E-2</v>
      </c>
      <c r="Y64">
        <f t="shared" si="6"/>
        <v>0.10436911117124653</v>
      </c>
      <c r="Z64">
        <f t="shared" si="7"/>
        <v>0.20539250658072769</v>
      </c>
      <c r="AA64">
        <f t="shared" si="8"/>
        <v>6.6508401190681202E-2</v>
      </c>
      <c r="AB64">
        <f t="shared" si="9"/>
        <v>0.12583335383404265</v>
      </c>
      <c r="AC64">
        <f t="shared" si="10"/>
        <v>0.14862604246106914</v>
      </c>
      <c r="AD64">
        <f t="shared" si="11"/>
        <v>4.7356638539693477E-3</v>
      </c>
      <c r="AE64">
        <f t="shared" si="12"/>
        <v>4.243646830180324E-3</v>
      </c>
      <c r="AF64">
        <f t="shared" si="13"/>
        <v>7.8870328913380403E-2</v>
      </c>
      <c r="AG64">
        <f t="shared" si="14"/>
        <v>5.5843932200054123E-3</v>
      </c>
    </row>
    <row r="65" spans="1:33">
      <c r="A65" s="36">
        <f t="shared" si="15"/>
        <v>2022</v>
      </c>
      <c r="B65" s="36">
        <f t="shared" si="16"/>
        <v>60</v>
      </c>
      <c r="C65" s="37">
        <v>78472</v>
      </c>
      <c r="D65" s="38">
        <v>5805</v>
      </c>
      <c r="E65" s="38">
        <v>1916</v>
      </c>
      <c r="F65" s="38">
        <v>2485</v>
      </c>
      <c r="G65" s="38">
        <v>5422</v>
      </c>
      <c r="H65" s="38">
        <v>4456</v>
      </c>
      <c r="I65" s="38">
        <v>8067</v>
      </c>
      <c r="J65" s="38">
        <v>16449</v>
      </c>
      <c r="K65" s="38">
        <v>5211</v>
      </c>
      <c r="L65" s="38">
        <v>9963</v>
      </c>
      <c r="M65" s="38">
        <v>11399</v>
      </c>
      <c r="N65" s="38">
        <v>352</v>
      </c>
      <c r="O65" s="38">
        <v>336</v>
      </c>
      <c r="P65" s="38">
        <v>6147</v>
      </c>
      <c r="Q65" s="38">
        <v>464</v>
      </c>
      <c r="S65">
        <v>60</v>
      </c>
      <c r="T65">
        <f t="shared" si="1"/>
        <v>7.3975430726883479E-2</v>
      </c>
      <c r="U65">
        <f t="shared" si="2"/>
        <v>2.4416352329493324E-2</v>
      </c>
      <c r="V65">
        <f t="shared" si="3"/>
        <v>3.1667346314609032E-2</v>
      </c>
      <c r="W65">
        <f t="shared" si="4"/>
        <v>6.9094708940768676E-2</v>
      </c>
      <c r="X65">
        <f t="shared" si="5"/>
        <v>5.678458558466714E-2</v>
      </c>
      <c r="Y65">
        <f t="shared" si="6"/>
        <v>0.10280099908247528</v>
      </c>
      <c r="Z65">
        <f t="shared" si="7"/>
        <v>0.20961616882454889</v>
      </c>
      <c r="AA65">
        <f t="shared" si="8"/>
        <v>6.6405851768783775E-2</v>
      </c>
      <c r="AB65">
        <f t="shared" si="9"/>
        <v>0.12696248343358141</v>
      </c>
      <c r="AC65">
        <f t="shared" si="10"/>
        <v>0.14526200428178204</v>
      </c>
      <c r="AD65">
        <f t="shared" si="11"/>
        <v>4.48567641961464E-3</v>
      </c>
      <c r="AE65">
        <f t="shared" si="12"/>
        <v>4.2817820369048833E-3</v>
      </c>
      <c r="AF65">
        <f t="shared" si="13"/>
        <v>7.8333673157304523E-2</v>
      </c>
      <c r="AG65">
        <f t="shared" si="14"/>
        <v>5.9129370985829344E-3</v>
      </c>
    </row>
    <row r="66" spans="1:33">
      <c r="A66" s="36">
        <f t="shared" si="15"/>
        <v>2022</v>
      </c>
      <c r="B66" s="36">
        <f t="shared" si="16"/>
        <v>61</v>
      </c>
      <c r="C66" s="37">
        <v>76073</v>
      </c>
      <c r="D66" s="38">
        <v>5658</v>
      </c>
      <c r="E66" s="38">
        <v>1832</v>
      </c>
      <c r="F66" s="38">
        <v>2436</v>
      </c>
      <c r="G66" s="38">
        <v>5255</v>
      </c>
      <c r="H66" s="38">
        <v>4326</v>
      </c>
      <c r="I66" s="38">
        <v>7685</v>
      </c>
      <c r="J66" s="38">
        <v>15974</v>
      </c>
      <c r="K66" s="38">
        <v>5220</v>
      </c>
      <c r="L66" s="38">
        <v>9348</v>
      </c>
      <c r="M66" s="38">
        <v>11178</v>
      </c>
      <c r="N66" s="38">
        <v>349</v>
      </c>
      <c r="O66" s="38">
        <v>330</v>
      </c>
      <c r="P66" s="38">
        <v>6065</v>
      </c>
      <c r="Q66" s="38">
        <v>417</v>
      </c>
      <c r="S66">
        <v>61</v>
      </c>
      <c r="T66">
        <f t="shared" si="1"/>
        <v>7.4375928384577975E-2</v>
      </c>
      <c r="U66">
        <f t="shared" si="2"/>
        <v>2.4082131636717363E-2</v>
      </c>
      <c r="V66">
        <f t="shared" si="3"/>
        <v>3.202187372655213E-2</v>
      </c>
      <c r="W66">
        <f t="shared" si="4"/>
        <v>6.9078385235234574E-2</v>
      </c>
      <c r="X66">
        <f t="shared" si="5"/>
        <v>5.6866430928187398E-2</v>
      </c>
      <c r="Y66">
        <f t="shared" si="6"/>
        <v>0.10102138735162278</v>
      </c>
      <c r="Z66">
        <f t="shared" si="7"/>
        <v>0.20998251679308033</v>
      </c>
      <c r="AA66">
        <f t="shared" si="8"/>
        <v>6.8618300842611696E-2</v>
      </c>
      <c r="AB66">
        <f t="shared" si="9"/>
        <v>0.12288196863538969</v>
      </c>
      <c r="AC66">
        <f t="shared" si="10"/>
        <v>0.14693780973538575</v>
      </c>
      <c r="AD66">
        <f t="shared" si="11"/>
        <v>4.5876986578681006E-3</v>
      </c>
      <c r="AE66">
        <f t="shared" si="12"/>
        <v>4.3379385590156822E-3</v>
      </c>
      <c r="AF66">
        <f t="shared" si="13"/>
        <v>7.9726052607363984E-2</v>
      </c>
      <c r="AG66">
        <f t="shared" si="14"/>
        <v>5.4815769063925436E-3</v>
      </c>
    </row>
    <row r="67" spans="1:33">
      <c r="A67" s="36">
        <f t="shared" si="15"/>
        <v>2022</v>
      </c>
      <c r="B67" s="36">
        <f t="shared" si="16"/>
        <v>62</v>
      </c>
      <c r="C67" s="37">
        <v>74414</v>
      </c>
      <c r="D67" s="38">
        <v>5508</v>
      </c>
      <c r="E67" s="38">
        <v>1890</v>
      </c>
      <c r="F67" s="38">
        <v>2418</v>
      </c>
      <c r="G67" s="38">
        <v>5367</v>
      </c>
      <c r="H67" s="38">
        <v>4164</v>
      </c>
      <c r="I67" s="38">
        <v>7582</v>
      </c>
      <c r="J67" s="38">
        <v>15450</v>
      </c>
      <c r="K67" s="38">
        <v>5016</v>
      </c>
      <c r="L67" s="38">
        <v>9306</v>
      </c>
      <c r="M67" s="38">
        <v>10842</v>
      </c>
      <c r="N67" s="38">
        <v>362</v>
      </c>
      <c r="O67" s="38">
        <v>306</v>
      </c>
      <c r="P67" s="38">
        <v>5775</v>
      </c>
      <c r="Q67" s="38">
        <v>428</v>
      </c>
      <c r="S67">
        <v>62</v>
      </c>
      <c r="T67">
        <f t="shared" si="1"/>
        <v>7.4018329884161585E-2</v>
      </c>
      <c r="U67">
        <f t="shared" si="2"/>
        <v>2.5398446528878973E-2</v>
      </c>
      <c r="V67">
        <f t="shared" si="3"/>
        <v>3.2493885559168975E-2</v>
      </c>
      <c r="W67">
        <f t="shared" si="4"/>
        <v>7.2123525143118233E-2</v>
      </c>
      <c r="X67">
        <f t="shared" si="5"/>
        <v>5.5957212352514309E-2</v>
      </c>
      <c r="Y67">
        <f t="shared" si="6"/>
        <v>0.10188942940844464</v>
      </c>
      <c r="Z67">
        <f t="shared" si="7"/>
        <v>0.20762222162496305</v>
      </c>
      <c r="AA67">
        <f t="shared" si="8"/>
        <v>6.7406670787754988E-2</v>
      </c>
      <c r="AB67">
        <f t="shared" si="9"/>
        <v>0.12505711290886123</v>
      </c>
      <c r="AC67">
        <f t="shared" si="10"/>
        <v>0.14569839008788668</v>
      </c>
      <c r="AD67">
        <f t="shared" si="11"/>
        <v>4.8646760018276128E-3</v>
      </c>
      <c r="AE67">
        <f t="shared" si="12"/>
        <v>4.1121294380089771E-3</v>
      </c>
      <c r="AF67">
        <f t="shared" si="13"/>
        <v>7.7606364393796867E-2</v>
      </c>
      <c r="AG67">
        <f t="shared" si="14"/>
        <v>5.751605880613863E-3</v>
      </c>
    </row>
    <row r="68" spans="1:33">
      <c r="A68" s="36">
        <f t="shared" si="15"/>
        <v>2022</v>
      </c>
      <c r="B68" s="36">
        <f t="shared" si="16"/>
        <v>63</v>
      </c>
      <c r="C68" s="37">
        <v>73191</v>
      </c>
      <c r="D68" s="38">
        <v>5652</v>
      </c>
      <c r="E68" s="38">
        <v>1886</v>
      </c>
      <c r="F68" s="38">
        <v>2350</v>
      </c>
      <c r="G68" s="38">
        <v>5232</v>
      </c>
      <c r="H68" s="38">
        <v>4012</v>
      </c>
      <c r="I68" s="38">
        <v>7496</v>
      </c>
      <c r="J68" s="38">
        <v>15270</v>
      </c>
      <c r="K68" s="38">
        <v>4956</v>
      </c>
      <c r="L68" s="38">
        <v>8974</v>
      </c>
      <c r="M68" s="38">
        <v>10522</v>
      </c>
      <c r="N68" s="38">
        <v>334</v>
      </c>
      <c r="O68" s="38">
        <v>296</v>
      </c>
      <c r="P68" s="38">
        <v>5772</v>
      </c>
      <c r="Q68" s="38">
        <v>439</v>
      </c>
      <c r="S68">
        <v>63</v>
      </c>
      <c r="T68">
        <f t="shared" si="1"/>
        <v>7.7222609337213588E-2</v>
      </c>
      <c r="U68">
        <f t="shared" si="2"/>
        <v>2.5768195543167876E-2</v>
      </c>
      <c r="V68">
        <f t="shared" si="3"/>
        <v>3.21077728135973E-2</v>
      </c>
      <c r="W68">
        <f t="shared" si="4"/>
        <v>7.1484198876911098E-2</v>
      </c>
      <c r="X68">
        <f t="shared" si="5"/>
        <v>5.4815482777937179E-2</v>
      </c>
      <c r="Y68">
        <f t="shared" si="6"/>
        <v>0.10241696383435121</v>
      </c>
      <c r="Z68">
        <f t="shared" si="7"/>
        <v>0.20863220887814077</v>
      </c>
      <c r="AA68">
        <f t="shared" si="8"/>
        <v>6.7713243431569453E-2</v>
      </c>
      <c r="AB68">
        <f t="shared" si="9"/>
        <v>0.12261070350179668</v>
      </c>
      <c r="AC68">
        <f t="shared" si="10"/>
        <v>0.14376084491262586</v>
      </c>
      <c r="AD68">
        <f t="shared" si="11"/>
        <v>4.5634026041453182E-3</v>
      </c>
      <c r="AE68">
        <f t="shared" si="12"/>
        <v>4.0442130863084262E-3</v>
      </c>
      <c r="AF68">
        <f t="shared" si="13"/>
        <v>7.8862155183014301E-2</v>
      </c>
      <c r="AG68">
        <f t="shared" si="14"/>
        <v>5.9980052192209424E-3</v>
      </c>
    </row>
    <row r="69" spans="1:33">
      <c r="A69" s="36">
        <f t="shared" si="15"/>
        <v>2022</v>
      </c>
      <c r="B69" s="36">
        <f t="shared" si="16"/>
        <v>64</v>
      </c>
      <c r="C69" s="37">
        <v>71524</v>
      </c>
      <c r="D69" s="38">
        <v>5506</v>
      </c>
      <c r="E69" s="38">
        <v>1864</v>
      </c>
      <c r="F69" s="38">
        <v>2350</v>
      </c>
      <c r="G69" s="38">
        <v>5075</v>
      </c>
      <c r="H69" s="38">
        <v>3857</v>
      </c>
      <c r="I69" s="38">
        <v>7521</v>
      </c>
      <c r="J69" s="38">
        <v>14568</v>
      </c>
      <c r="K69" s="38">
        <v>4937</v>
      </c>
      <c r="L69" s="38">
        <v>8895</v>
      </c>
      <c r="M69" s="38">
        <v>10273</v>
      </c>
      <c r="N69" s="38">
        <v>320</v>
      </c>
      <c r="O69" s="38">
        <v>310</v>
      </c>
      <c r="P69" s="38">
        <v>5649</v>
      </c>
      <c r="Q69" s="38">
        <v>399</v>
      </c>
      <c r="S69">
        <v>64</v>
      </c>
      <c r="T69">
        <f t="shared" ref="T69:T95" si="17">D69/$C69</f>
        <v>7.6981153179352391E-2</v>
      </c>
      <c r="U69">
        <f t="shared" ref="U69:U95" si="18">E69/$C69</f>
        <v>2.6061182260499971E-2</v>
      </c>
      <c r="V69">
        <f t="shared" ref="V69:V95" si="19">F69/$C69</f>
        <v>3.285610424472904E-2</v>
      </c>
      <c r="W69">
        <f t="shared" ref="W69:W95" si="20">G69/$C69</f>
        <v>7.095520384765952E-2</v>
      </c>
      <c r="X69">
        <f t="shared" ref="X69:X95" si="21">H69/$C69</f>
        <v>5.3925954924221239E-2</v>
      </c>
      <c r="Y69">
        <f t="shared" ref="Y69:Y95" si="22">I69/$C69</f>
        <v>0.10515351490408814</v>
      </c>
      <c r="Z69">
        <f t="shared" ref="Z69:Z95" si="23">J69/$C69</f>
        <v>0.20367988367540965</v>
      </c>
      <c r="AA69">
        <f t="shared" ref="AA69:AA95" si="24">K69/$C69</f>
        <v>6.9025781555841395E-2</v>
      </c>
      <c r="AB69">
        <f t="shared" ref="AB69:AB95" si="25">L69/$C69</f>
        <v>0.12436384989653823</v>
      </c>
      <c r="AC69">
        <f t="shared" ref="AC69:AC95" si="26">M69/$C69</f>
        <v>0.14363011017280913</v>
      </c>
      <c r="AD69">
        <f t="shared" ref="AD69:AD95" si="27">N69/$C69</f>
        <v>4.4740227056652314E-3</v>
      </c>
      <c r="AE69">
        <f t="shared" ref="AE69:AE95" si="28">O69/$C69</f>
        <v>4.3342094961131925E-3</v>
      </c>
      <c r="AF69">
        <f t="shared" ref="AF69:AF95" si="29">P69/$C69</f>
        <v>7.8980482075946531E-2</v>
      </c>
      <c r="AG69">
        <f t="shared" ref="AG69:AG95" si="30">Q69/$C69</f>
        <v>5.5785470611263354E-3</v>
      </c>
    </row>
    <row r="70" spans="1:33">
      <c r="A70" s="36">
        <f t="shared" ref="A70:A95" si="31">$A$4</f>
        <v>2022</v>
      </c>
      <c r="B70" s="36">
        <f t="shared" si="16"/>
        <v>65</v>
      </c>
      <c r="C70" s="37">
        <v>67917</v>
      </c>
      <c r="D70" s="38">
        <v>5235</v>
      </c>
      <c r="E70" s="38">
        <v>1836</v>
      </c>
      <c r="F70" s="38">
        <v>2198</v>
      </c>
      <c r="G70" s="38">
        <v>4739</v>
      </c>
      <c r="H70" s="38">
        <v>3671</v>
      </c>
      <c r="I70" s="38">
        <v>7121</v>
      </c>
      <c r="J70" s="38">
        <v>13715</v>
      </c>
      <c r="K70" s="38">
        <v>4740</v>
      </c>
      <c r="L70" s="38">
        <v>8489</v>
      </c>
      <c r="M70" s="38">
        <v>9803</v>
      </c>
      <c r="N70" s="38">
        <v>320</v>
      </c>
      <c r="O70" s="38">
        <v>267</v>
      </c>
      <c r="P70" s="38">
        <v>5382</v>
      </c>
      <c r="Q70" s="38">
        <v>401</v>
      </c>
      <c r="S70">
        <v>65</v>
      </c>
      <c r="T70">
        <f t="shared" si="17"/>
        <v>7.7079376297539651E-2</v>
      </c>
      <c r="U70">
        <f t="shared" si="18"/>
        <v>2.7032996157074076E-2</v>
      </c>
      <c r="V70">
        <f t="shared" si="19"/>
        <v>3.2363031347085416E-2</v>
      </c>
      <c r="W70">
        <f t="shared" si="20"/>
        <v>6.9776344655977152E-2</v>
      </c>
      <c r="X70">
        <f t="shared" si="21"/>
        <v>5.4051268460032095E-2</v>
      </c>
      <c r="Y70">
        <f t="shared" si="22"/>
        <v>0.10484856516041639</v>
      </c>
      <c r="Z70">
        <f t="shared" si="23"/>
        <v>0.20193765920167264</v>
      </c>
      <c r="AA70">
        <f t="shared" si="24"/>
        <v>6.9791068510093202E-2</v>
      </c>
      <c r="AB70">
        <f t="shared" si="25"/>
        <v>0.12499079759117747</v>
      </c>
      <c r="AC70">
        <f t="shared" si="26"/>
        <v>0.14433794189967167</v>
      </c>
      <c r="AD70">
        <f t="shared" si="27"/>
        <v>4.7116333171370942E-3</v>
      </c>
      <c r="AE70">
        <f t="shared" si="28"/>
        <v>3.9312690489862624E-3</v>
      </c>
      <c r="AF70">
        <f t="shared" si="29"/>
        <v>7.924378285259949E-2</v>
      </c>
      <c r="AG70">
        <f t="shared" si="30"/>
        <v>5.9042655005374211E-3</v>
      </c>
    </row>
    <row r="71" spans="1:33">
      <c r="A71" s="36">
        <f t="shared" si="31"/>
        <v>2022</v>
      </c>
      <c r="B71" s="36">
        <f t="shared" ref="B71:B95" si="32">1+B70</f>
        <v>66</v>
      </c>
      <c r="C71" s="37">
        <v>65846</v>
      </c>
      <c r="D71" s="38">
        <v>5148</v>
      </c>
      <c r="E71" s="38">
        <v>1670</v>
      </c>
      <c r="F71" s="38">
        <v>2220</v>
      </c>
      <c r="G71" s="38">
        <v>4626</v>
      </c>
      <c r="H71" s="38">
        <v>3529</v>
      </c>
      <c r="I71" s="38">
        <v>7078</v>
      </c>
      <c r="J71" s="38">
        <v>13411</v>
      </c>
      <c r="K71" s="38">
        <v>4669</v>
      </c>
      <c r="L71" s="38">
        <v>8144</v>
      </c>
      <c r="M71" s="38">
        <v>9251</v>
      </c>
      <c r="N71" s="38">
        <v>299</v>
      </c>
      <c r="O71" s="38">
        <v>305</v>
      </c>
      <c r="P71" s="38">
        <v>5103</v>
      </c>
      <c r="Q71" s="38">
        <v>393</v>
      </c>
      <c r="S71">
        <v>66</v>
      </c>
      <c r="T71">
        <f t="shared" si="17"/>
        <v>7.8182425659873031E-2</v>
      </c>
      <c r="U71">
        <f t="shared" si="18"/>
        <v>2.5362208790207452E-2</v>
      </c>
      <c r="V71">
        <f t="shared" si="19"/>
        <v>3.3715032044467394E-2</v>
      </c>
      <c r="W71">
        <f t="shared" si="20"/>
        <v>7.0254837044011781E-2</v>
      </c>
      <c r="X71">
        <f t="shared" si="21"/>
        <v>5.3594751389606052E-2</v>
      </c>
      <c r="Y71">
        <f t="shared" si="22"/>
        <v>0.10749324180663973</v>
      </c>
      <c r="Z71">
        <f t="shared" si="23"/>
        <v>0.20367220484160009</v>
      </c>
      <c r="AA71">
        <f t="shared" si="24"/>
        <v>7.0907875952981203E-2</v>
      </c>
      <c r="AB71">
        <f t="shared" si="25"/>
        <v>0.12368253196853264</v>
      </c>
      <c r="AC71">
        <f t="shared" si="26"/>
        <v>0.14049448713665219</v>
      </c>
      <c r="AD71">
        <f t="shared" si="27"/>
        <v>4.540898460043131E-3</v>
      </c>
      <c r="AE71">
        <f t="shared" si="28"/>
        <v>4.6320201682714208E-3</v>
      </c>
      <c r="AF71">
        <f t="shared" si="29"/>
        <v>7.7499012848160867E-2</v>
      </c>
      <c r="AG71">
        <f t="shared" si="30"/>
        <v>5.9684718889530114E-3</v>
      </c>
    </row>
    <row r="72" spans="1:33">
      <c r="A72" s="36">
        <f t="shared" si="31"/>
        <v>2022</v>
      </c>
      <c r="B72" s="36">
        <f t="shared" si="32"/>
        <v>67</v>
      </c>
      <c r="C72" s="37">
        <v>63035</v>
      </c>
      <c r="D72" s="38">
        <v>4905</v>
      </c>
      <c r="E72" s="38">
        <v>1754</v>
      </c>
      <c r="F72" s="38">
        <v>2150</v>
      </c>
      <c r="G72" s="38">
        <v>4481</v>
      </c>
      <c r="H72" s="38">
        <v>3402</v>
      </c>
      <c r="I72" s="38">
        <v>6771</v>
      </c>
      <c r="J72" s="38">
        <v>12644</v>
      </c>
      <c r="K72" s="38">
        <v>4420</v>
      </c>
      <c r="L72" s="38">
        <v>7847</v>
      </c>
      <c r="M72" s="38">
        <v>8689</v>
      </c>
      <c r="N72" s="38">
        <v>293</v>
      </c>
      <c r="O72" s="38">
        <v>293</v>
      </c>
      <c r="P72" s="38">
        <v>4978</v>
      </c>
      <c r="Q72" s="38">
        <v>408</v>
      </c>
      <c r="S72">
        <v>67</v>
      </c>
      <c r="T72">
        <f t="shared" si="17"/>
        <v>7.7813912905528679E-2</v>
      </c>
      <c r="U72">
        <f t="shared" si="18"/>
        <v>2.7825811057349093E-2</v>
      </c>
      <c r="V72">
        <f t="shared" si="19"/>
        <v>3.4108035218529391E-2</v>
      </c>
      <c r="W72">
        <f t="shared" si="20"/>
        <v>7.1087491076386136E-2</v>
      </c>
      <c r="X72">
        <f t="shared" si="21"/>
        <v>5.3970016657412551E-2</v>
      </c>
      <c r="Y72">
        <f t="shared" si="22"/>
        <v>0.10741651463472673</v>
      </c>
      <c r="Z72">
        <f t="shared" si="23"/>
        <v>0.20058697548980725</v>
      </c>
      <c r="AA72">
        <f t="shared" si="24"/>
        <v>7.0119774728325535E-2</v>
      </c>
      <c r="AB72">
        <f t="shared" si="25"/>
        <v>0.12448639644641865</v>
      </c>
      <c r="AC72">
        <f t="shared" si="26"/>
        <v>0.1378440548901404</v>
      </c>
      <c r="AD72">
        <f t="shared" si="27"/>
        <v>4.6482113111763305E-3</v>
      </c>
      <c r="AE72">
        <f t="shared" si="28"/>
        <v>4.6482113111763305E-3</v>
      </c>
      <c r="AF72">
        <f t="shared" si="29"/>
        <v>7.8971999682715954E-2</v>
      </c>
      <c r="AG72">
        <f t="shared" si="30"/>
        <v>6.4725945903069725E-3</v>
      </c>
    </row>
    <row r="73" spans="1:33">
      <c r="A73" s="36">
        <f t="shared" si="31"/>
        <v>2022</v>
      </c>
      <c r="B73" s="36">
        <f t="shared" si="32"/>
        <v>68</v>
      </c>
      <c r="C73" s="37">
        <v>61093</v>
      </c>
      <c r="D73" s="38">
        <v>4848</v>
      </c>
      <c r="E73" s="38">
        <v>1643</v>
      </c>
      <c r="F73" s="38">
        <v>2117</v>
      </c>
      <c r="G73" s="38">
        <v>4373</v>
      </c>
      <c r="H73" s="38">
        <v>3338</v>
      </c>
      <c r="I73" s="38">
        <v>6580</v>
      </c>
      <c r="J73" s="38">
        <v>11916</v>
      </c>
      <c r="K73" s="38">
        <v>4386</v>
      </c>
      <c r="L73" s="38">
        <v>7499</v>
      </c>
      <c r="M73" s="38">
        <v>8601</v>
      </c>
      <c r="N73" s="38">
        <v>285</v>
      </c>
      <c r="O73" s="38">
        <v>261</v>
      </c>
      <c r="P73" s="38">
        <v>4882</v>
      </c>
      <c r="Q73" s="38">
        <v>364</v>
      </c>
      <c r="S73">
        <v>68</v>
      </c>
      <c r="T73">
        <f t="shared" si="17"/>
        <v>7.9354426857414104E-2</v>
      </c>
      <c r="U73">
        <f t="shared" si="18"/>
        <v>2.6893424778616209E-2</v>
      </c>
      <c r="V73">
        <f t="shared" si="19"/>
        <v>3.4652087800566347E-2</v>
      </c>
      <c r="W73">
        <f t="shared" si="20"/>
        <v>7.1579395348075878E-2</v>
      </c>
      <c r="X73">
        <f t="shared" si="21"/>
        <v>5.4638010901412598E-2</v>
      </c>
      <c r="Y73">
        <f t="shared" si="22"/>
        <v>0.10770464701356948</v>
      </c>
      <c r="Z73">
        <f t="shared" si="23"/>
        <v>0.19504689571636685</v>
      </c>
      <c r="AA73">
        <f t="shared" si="24"/>
        <v>7.1792185684120935E-2</v>
      </c>
      <c r="AB73">
        <f t="shared" si="25"/>
        <v>0.12274728692321543</v>
      </c>
      <c r="AC73">
        <f t="shared" si="26"/>
        <v>0.1407853600248801</v>
      </c>
      <c r="AD73">
        <f t="shared" si="27"/>
        <v>4.6650189056029329E-3</v>
      </c>
      <c r="AE73">
        <f t="shared" si="28"/>
        <v>4.2721752082890019E-3</v>
      </c>
      <c r="AF73">
        <f t="shared" si="29"/>
        <v>7.9910955428608849E-2</v>
      </c>
      <c r="AG73">
        <f t="shared" si="30"/>
        <v>5.9581294092612902E-3</v>
      </c>
    </row>
    <row r="74" spans="1:33">
      <c r="A74" s="36">
        <f t="shared" si="31"/>
        <v>2022</v>
      </c>
      <c r="B74" s="36">
        <f t="shared" si="32"/>
        <v>69</v>
      </c>
      <c r="C74" s="37">
        <v>59578</v>
      </c>
      <c r="D74" s="38">
        <v>4858</v>
      </c>
      <c r="E74" s="38">
        <v>1616</v>
      </c>
      <c r="F74" s="38">
        <v>2060</v>
      </c>
      <c r="G74" s="38">
        <v>4212</v>
      </c>
      <c r="H74" s="38">
        <v>3322</v>
      </c>
      <c r="I74" s="38">
        <v>6107</v>
      </c>
      <c r="J74" s="38">
        <v>11391</v>
      </c>
      <c r="K74" s="38">
        <v>4379</v>
      </c>
      <c r="L74" s="38">
        <v>7277</v>
      </c>
      <c r="M74" s="38">
        <v>8321</v>
      </c>
      <c r="N74" s="38">
        <v>317</v>
      </c>
      <c r="O74" s="38">
        <v>257</v>
      </c>
      <c r="P74" s="38">
        <v>5092</v>
      </c>
      <c r="Q74" s="38">
        <v>369</v>
      </c>
      <c r="S74">
        <v>69</v>
      </c>
      <c r="T74">
        <f t="shared" si="17"/>
        <v>8.1540165833025618E-2</v>
      </c>
      <c r="U74">
        <f t="shared" si="18"/>
        <v>2.7124106213703043E-2</v>
      </c>
      <c r="V74">
        <f t="shared" si="19"/>
        <v>3.4576521534794721E-2</v>
      </c>
      <c r="W74">
        <f t="shared" si="20"/>
        <v>7.0697237235221061E-2</v>
      </c>
      <c r="X74">
        <f t="shared" si="21"/>
        <v>5.5758837154654406E-2</v>
      </c>
      <c r="Y74">
        <f t="shared" si="22"/>
        <v>0.10250428010339387</v>
      </c>
      <c r="Z74">
        <f t="shared" si="23"/>
        <v>0.19119473631206149</v>
      </c>
      <c r="AA74">
        <f t="shared" si="24"/>
        <v>7.3500285340226262E-2</v>
      </c>
      <c r="AB74">
        <f t="shared" si="25"/>
        <v>0.12214240155762195</v>
      </c>
      <c r="AC74">
        <f t="shared" si="26"/>
        <v>0.13966564839370238</v>
      </c>
      <c r="AD74">
        <f t="shared" si="27"/>
        <v>5.320755983752392E-3</v>
      </c>
      <c r="AE74">
        <f t="shared" si="28"/>
        <v>4.3136728322535163E-3</v>
      </c>
      <c r="AF74">
        <f t="shared" si="29"/>
        <v>8.5467790123871235E-2</v>
      </c>
      <c r="AG74">
        <f t="shared" si="30"/>
        <v>6.1935613817180836E-3</v>
      </c>
    </row>
    <row r="75" spans="1:33">
      <c r="A75" s="36">
        <f t="shared" si="31"/>
        <v>2022</v>
      </c>
      <c r="B75" s="36">
        <f t="shared" si="32"/>
        <v>70</v>
      </c>
      <c r="C75" s="37">
        <v>56587</v>
      </c>
      <c r="D75" s="38">
        <v>4534</v>
      </c>
      <c r="E75" s="38">
        <v>1565</v>
      </c>
      <c r="F75" s="38">
        <v>2034</v>
      </c>
      <c r="G75" s="38">
        <v>4086</v>
      </c>
      <c r="H75" s="38">
        <v>3157</v>
      </c>
      <c r="I75" s="38">
        <v>5980</v>
      </c>
      <c r="J75" s="38">
        <v>10632</v>
      </c>
      <c r="K75" s="38">
        <v>4219</v>
      </c>
      <c r="L75" s="38">
        <v>6880</v>
      </c>
      <c r="M75" s="38">
        <v>8036</v>
      </c>
      <c r="N75" s="38">
        <v>273</v>
      </c>
      <c r="O75" s="38">
        <v>255</v>
      </c>
      <c r="P75" s="38">
        <v>4563</v>
      </c>
      <c r="Q75" s="38">
        <v>373</v>
      </c>
      <c r="S75">
        <v>70</v>
      </c>
      <c r="T75">
        <f t="shared" si="17"/>
        <v>8.0124410200222665E-2</v>
      </c>
      <c r="U75">
        <f t="shared" si="18"/>
        <v>2.7656528884726174E-2</v>
      </c>
      <c r="V75">
        <f t="shared" si="19"/>
        <v>3.5944651598423666E-2</v>
      </c>
      <c r="W75">
        <f t="shared" si="20"/>
        <v>7.2207397458780284E-2</v>
      </c>
      <c r="X75">
        <f t="shared" si="21"/>
        <v>5.5790199162351777E-2</v>
      </c>
      <c r="Y75">
        <f t="shared" si="22"/>
        <v>0.1056779825755032</v>
      </c>
      <c r="Z75">
        <f t="shared" si="23"/>
        <v>0.18788767738173079</v>
      </c>
      <c r="AA75">
        <f t="shared" si="24"/>
        <v>7.4557760616395991E-2</v>
      </c>
      <c r="AB75">
        <f t="shared" si="25"/>
        <v>0.12158269567215085</v>
      </c>
      <c r="AC75">
        <f t="shared" si="26"/>
        <v>0.1420114160496227</v>
      </c>
      <c r="AD75">
        <f t="shared" si="27"/>
        <v>4.8244296393164503E-3</v>
      </c>
      <c r="AE75">
        <f t="shared" si="28"/>
        <v>4.5063353773834979E-3</v>
      </c>
      <c r="AF75">
        <f t="shared" si="29"/>
        <v>8.063689540000353E-2</v>
      </c>
      <c r="AG75">
        <f t="shared" si="30"/>
        <v>6.5916199833884106E-3</v>
      </c>
    </row>
    <row r="76" spans="1:33">
      <c r="A76" s="36">
        <f t="shared" si="31"/>
        <v>2022</v>
      </c>
      <c r="B76" s="36">
        <f t="shared" si="32"/>
        <v>71</v>
      </c>
      <c r="C76" s="37">
        <v>56361</v>
      </c>
      <c r="D76" s="38">
        <v>4496</v>
      </c>
      <c r="E76" s="38">
        <v>1576</v>
      </c>
      <c r="F76" s="38">
        <v>2046</v>
      </c>
      <c r="G76" s="38">
        <v>4179</v>
      </c>
      <c r="H76" s="38">
        <v>3259</v>
      </c>
      <c r="I76" s="38">
        <v>5992</v>
      </c>
      <c r="J76" s="38">
        <v>10582</v>
      </c>
      <c r="K76" s="38">
        <v>4144</v>
      </c>
      <c r="L76" s="38">
        <v>6559</v>
      </c>
      <c r="M76" s="38">
        <v>7993</v>
      </c>
      <c r="N76" s="38">
        <v>293</v>
      </c>
      <c r="O76" s="38">
        <v>256</v>
      </c>
      <c r="P76" s="38">
        <v>4653</v>
      </c>
      <c r="Q76" s="38">
        <v>333</v>
      </c>
      <c r="S76">
        <v>71</v>
      </c>
      <c r="T76">
        <f t="shared" si="17"/>
        <v>7.9771473181810118E-2</v>
      </c>
      <c r="U76">
        <f t="shared" si="18"/>
        <v>2.7962598250563332E-2</v>
      </c>
      <c r="V76">
        <f t="shared" si="19"/>
        <v>3.6301697982647575E-2</v>
      </c>
      <c r="W76">
        <f t="shared" si="20"/>
        <v>7.4147016554000106E-2</v>
      </c>
      <c r="X76">
        <f t="shared" si="21"/>
        <v>5.7823672397579885E-2</v>
      </c>
      <c r="Y76">
        <f t="shared" si="22"/>
        <v>0.10631465020138038</v>
      </c>
      <c r="Z76">
        <f t="shared" si="23"/>
        <v>0.18775394332960735</v>
      </c>
      <c r="AA76">
        <f t="shared" si="24"/>
        <v>7.3526019765440639E-2</v>
      </c>
      <c r="AB76">
        <f t="shared" si="25"/>
        <v>0.11637479817604372</v>
      </c>
      <c r="AC76">
        <f t="shared" si="26"/>
        <v>0.14181792374159435</v>
      </c>
      <c r="AD76">
        <f t="shared" si="27"/>
        <v>5.198630258512092E-3</v>
      </c>
      <c r="AE76">
        <f t="shared" si="28"/>
        <v>4.5421479391778005E-3</v>
      </c>
      <c r="AF76">
        <f t="shared" si="29"/>
        <v>8.2557087347634006E-2</v>
      </c>
      <c r="AG76">
        <f t="shared" si="30"/>
        <v>5.9083408740086231E-3</v>
      </c>
    </row>
    <row r="77" spans="1:33">
      <c r="A77" s="36">
        <f t="shared" si="31"/>
        <v>2022</v>
      </c>
      <c r="B77" s="36">
        <f t="shared" si="32"/>
        <v>72</v>
      </c>
      <c r="C77" s="37">
        <v>55493</v>
      </c>
      <c r="D77" s="38">
        <v>4445</v>
      </c>
      <c r="E77" s="38">
        <v>1574</v>
      </c>
      <c r="F77" s="38">
        <v>2054</v>
      </c>
      <c r="G77" s="38">
        <v>4082</v>
      </c>
      <c r="H77" s="38">
        <v>3163</v>
      </c>
      <c r="I77" s="38">
        <v>5894</v>
      </c>
      <c r="J77" s="38">
        <v>10150</v>
      </c>
      <c r="K77" s="38">
        <v>4118</v>
      </c>
      <c r="L77" s="38">
        <v>6490</v>
      </c>
      <c r="M77" s="38">
        <v>7958</v>
      </c>
      <c r="N77" s="38">
        <v>250</v>
      </c>
      <c r="O77" s="38">
        <v>255</v>
      </c>
      <c r="P77" s="38">
        <v>4693</v>
      </c>
      <c r="Q77" s="38">
        <v>367</v>
      </c>
      <c r="S77">
        <v>72</v>
      </c>
      <c r="T77">
        <f t="shared" si="17"/>
        <v>8.0100192817112073E-2</v>
      </c>
      <c r="U77">
        <f t="shared" si="18"/>
        <v>2.8363937793955993E-2</v>
      </c>
      <c r="V77">
        <f t="shared" si="19"/>
        <v>3.7013677400753245E-2</v>
      </c>
      <c r="W77">
        <f t="shared" si="20"/>
        <v>7.3558827239471644E-2</v>
      </c>
      <c r="X77">
        <f t="shared" si="21"/>
        <v>5.6998179950624402E-2</v>
      </c>
      <c r="Y77">
        <f t="shared" si="22"/>
        <v>0.10621159425513128</v>
      </c>
      <c r="Z77">
        <f t="shared" si="23"/>
        <v>0.18290595210206692</v>
      </c>
      <c r="AA77">
        <f t="shared" si="24"/>
        <v>7.4207557709981442E-2</v>
      </c>
      <c r="AB77">
        <f t="shared" si="25"/>
        <v>0.11695168760023787</v>
      </c>
      <c r="AC77">
        <f t="shared" si="26"/>
        <v>0.14340547456435948</v>
      </c>
      <c r="AD77">
        <f t="shared" si="27"/>
        <v>4.5050727118735694E-3</v>
      </c>
      <c r="AE77">
        <f t="shared" si="28"/>
        <v>4.5951741661110412E-3</v>
      </c>
      <c r="AF77">
        <f t="shared" si="29"/>
        <v>8.4569224947290647E-2</v>
      </c>
      <c r="AG77">
        <f t="shared" si="30"/>
        <v>6.6134467410304005E-3</v>
      </c>
    </row>
    <row r="78" spans="1:33">
      <c r="A78" s="36">
        <f t="shared" si="31"/>
        <v>2022</v>
      </c>
      <c r="B78" s="36">
        <f t="shared" si="32"/>
        <v>73</v>
      </c>
      <c r="C78" s="37">
        <v>56517</v>
      </c>
      <c r="D78" s="38">
        <v>4593</v>
      </c>
      <c r="E78" s="38">
        <v>1590</v>
      </c>
      <c r="F78" s="38">
        <v>2056</v>
      </c>
      <c r="G78" s="38">
        <v>4264</v>
      </c>
      <c r="H78" s="38">
        <v>3260</v>
      </c>
      <c r="I78" s="38">
        <v>6083</v>
      </c>
      <c r="J78" s="38">
        <v>10133</v>
      </c>
      <c r="K78" s="38">
        <v>4234</v>
      </c>
      <c r="L78" s="38">
        <v>6591</v>
      </c>
      <c r="M78" s="38">
        <v>8051</v>
      </c>
      <c r="N78" s="38">
        <v>277</v>
      </c>
      <c r="O78" s="38">
        <v>263</v>
      </c>
      <c r="P78" s="38">
        <v>4786</v>
      </c>
      <c r="Q78" s="38">
        <v>336</v>
      </c>
      <c r="S78">
        <v>73</v>
      </c>
      <c r="T78">
        <f t="shared" si="17"/>
        <v>8.1267583205053354E-2</v>
      </c>
      <c r="U78">
        <f t="shared" si="18"/>
        <v>2.8133128085354848E-2</v>
      </c>
      <c r="V78">
        <f t="shared" si="19"/>
        <v>3.6378434807226141E-2</v>
      </c>
      <c r="W78">
        <f t="shared" si="20"/>
        <v>7.5446325884247212E-2</v>
      </c>
      <c r="X78">
        <f t="shared" si="21"/>
        <v>5.7681759470601765E-2</v>
      </c>
      <c r="Y78">
        <f t="shared" si="22"/>
        <v>0.10763133216554312</v>
      </c>
      <c r="Z78">
        <f t="shared" si="23"/>
        <v>0.17929118672257904</v>
      </c>
      <c r="AA78">
        <f t="shared" si="24"/>
        <v>7.4915512146787697E-2</v>
      </c>
      <c r="AB78">
        <f t="shared" si="25"/>
        <v>0.11661977811985774</v>
      </c>
      <c r="AC78">
        <f t="shared" si="26"/>
        <v>0.14245271334288798</v>
      </c>
      <c r="AD78">
        <f t="shared" si="27"/>
        <v>4.9011801758762847E-3</v>
      </c>
      <c r="AE78">
        <f t="shared" si="28"/>
        <v>4.6534670983951728E-3</v>
      </c>
      <c r="AF78">
        <f t="shared" si="29"/>
        <v>8.4682484916042966E-2</v>
      </c>
      <c r="AG78">
        <f t="shared" si="30"/>
        <v>5.9451138595466848E-3</v>
      </c>
    </row>
    <row r="79" spans="1:33">
      <c r="A79" s="36">
        <f t="shared" si="31"/>
        <v>2022</v>
      </c>
      <c r="B79" s="36">
        <f t="shared" si="32"/>
        <v>74</v>
      </c>
      <c r="C79" s="37">
        <v>57058</v>
      </c>
      <c r="D79" s="38">
        <v>4671</v>
      </c>
      <c r="E79" s="38">
        <v>1648</v>
      </c>
      <c r="F79" s="38">
        <v>2094</v>
      </c>
      <c r="G79" s="38">
        <v>4391</v>
      </c>
      <c r="H79" s="38">
        <v>3270</v>
      </c>
      <c r="I79" s="38">
        <v>6041</v>
      </c>
      <c r="J79" s="38">
        <v>10225</v>
      </c>
      <c r="K79" s="38">
        <v>4241</v>
      </c>
      <c r="L79" s="38">
        <v>6584</v>
      </c>
      <c r="M79" s="38">
        <v>8147</v>
      </c>
      <c r="N79" s="38">
        <v>263</v>
      </c>
      <c r="O79" s="38">
        <v>262</v>
      </c>
      <c r="P79" s="38">
        <v>4868</v>
      </c>
      <c r="Q79" s="38">
        <v>353</v>
      </c>
      <c r="S79">
        <v>74</v>
      </c>
      <c r="T79">
        <f t="shared" si="17"/>
        <v>8.1864068141189669E-2</v>
      </c>
      <c r="U79">
        <f t="shared" si="18"/>
        <v>2.8882891093273511E-2</v>
      </c>
      <c r="V79">
        <f t="shared" si="19"/>
        <v>3.6699498755652142E-2</v>
      </c>
      <c r="W79">
        <f t="shared" si="20"/>
        <v>7.6956780819516984E-2</v>
      </c>
      <c r="X79">
        <f t="shared" si="21"/>
        <v>5.7310105506677415E-2</v>
      </c>
      <c r="Y79">
        <f t="shared" si="22"/>
        <v>0.10587472396508815</v>
      </c>
      <c r="Z79">
        <f t="shared" si="23"/>
        <v>0.17920361737179713</v>
      </c>
      <c r="AA79">
        <f t="shared" si="24"/>
        <v>7.4327876897192335E-2</v>
      </c>
      <c r="AB79">
        <f t="shared" si="25"/>
        <v>0.11539135616390339</v>
      </c>
      <c r="AC79">
        <f t="shared" si="26"/>
        <v>0.14278453503452626</v>
      </c>
      <c r="AD79">
        <f t="shared" si="27"/>
        <v>4.609344877142557E-3</v>
      </c>
      <c r="AE79">
        <f t="shared" si="28"/>
        <v>4.5918188509937253E-3</v>
      </c>
      <c r="AF79">
        <f t="shared" si="29"/>
        <v>8.5316695292509376E-2</v>
      </c>
      <c r="AG79">
        <f t="shared" si="30"/>
        <v>6.1866872305373476E-3</v>
      </c>
    </row>
    <row r="80" spans="1:33">
      <c r="A80" s="36">
        <f t="shared" si="31"/>
        <v>2022</v>
      </c>
      <c r="B80" s="36">
        <f t="shared" si="32"/>
        <v>75</v>
      </c>
      <c r="C80" s="37">
        <v>60062</v>
      </c>
      <c r="D80" s="38">
        <v>4920</v>
      </c>
      <c r="E80" s="38">
        <v>1786</v>
      </c>
      <c r="F80" s="38">
        <v>2225</v>
      </c>
      <c r="G80" s="38">
        <v>4699</v>
      </c>
      <c r="H80" s="38">
        <v>3543</v>
      </c>
      <c r="I80" s="38">
        <v>6451</v>
      </c>
      <c r="J80" s="38">
        <v>10477</v>
      </c>
      <c r="K80" s="38">
        <v>4292</v>
      </c>
      <c r="L80" s="38">
        <v>6752</v>
      </c>
      <c r="M80" s="38">
        <v>8637</v>
      </c>
      <c r="N80" s="38">
        <v>321</v>
      </c>
      <c r="O80" s="38">
        <v>265</v>
      </c>
      <c r="P80" s="38">
        <v>5302</v>
      </c>
      <c r="Q80" s="38">
        <v>392</v>
      </c>
      <c r="S80">
        <v>75</v>
      </c>
      <c r="T80">
        <f t="shared" si="17"/>
        <v>8.1915354134061466E-2</v>
      </c>
      <c r="U80">
        <f t="shared" si="18"/>
        <v>2.9735939529153207E-2</v>
      </c>
      <c r="V80">
        <f t="shared" si="19"/>
        <v>3.7045053444773733E-2</v>
      </c>
      <c r="W80">
        <f t="shared" si="20"/>
        <v>7.8235822982917647E-2</v>
      </c>
      <c r="X80">
        <f t="shared" si="21"/>
        <v>5.8989044653857681E-2</v>
      </c>
      <c r="Y80">
        <f t="shared" si="22"/>
        <v>0.10740568079651028</v>
      </c>
      <c r="Z80">
        <f t="shared" si="23"/>
        <v>0.17443641570377277</v>
      </c>
      <c r="AA80">
        <f t="shared" si="24"/>
        <v>7.145949185841298E-2</v>
      </c>
      <c r="AB80">
        <f t="shared" si="25"/>
        <v>0.11241716892544371</v>
      </c>
      <c r="AC80">
        <f t="shared" si="26"/>
        <v>0.14380140521461157</v>
      </c>
      <c r="AD80">
        <f t="shared" si="27"/>
        <v>5.3444773733808395E-3</v>
      </c>
      <c r="AE80">
        <f t="shared" si="28"/>
        <v>4.4121074889281074E-3</v>
      </c>
      <c r="AF80">
        <f t="shared" si="29"/>
        <v>8.8275448703006895E-2</v>
      </c>
      <c r="AG80">
        <f t="shared" si="30"/>
        <v>6.526589191169125E-3</v>
      </c>
    </row>
    <row r="81" spans="1:33">
      <c r="A81" s="36">
        <f t="shared" si="31"/>
        <v>2022</v>
      </c>
      <c r="B81" s="36">
        <f t="shared" si="32"/>
        <v>76</v>
      </c>
      <c r="C81" s="37">
        <v>44318</v>
      </c>
      <c r="D81" s="38">
        <v>3626</v>
      </c>
      <c r="E81" s="38">
        <v>1288</v>
      </c>
      <c r="F81" s="38">
        <v>1653</v>
      </c>
      <c r="G81" s="38">
        <v>3360</v>
      </c>
      <c r="H81" s="38">
        <v>2528</v>
      </c>
      <c r="I81" s="38">
        <v>4737</v>
      </c>
      <c r="J81" s="38">
        <v>7891</v>
      </c>
      <c r="K81" s="38">
        <v>3270</v>
      </c>
      <c r="L81" s="38">
        <v>5073</v>
      </c>
      <c r="M81" s="38">
        <v>6391</v>
      </c>
      <c r="N81" s="38">
        <v>231</v>
      </c>
      <c r="O81" s="38">
        <v>192</v>
      </c>
      <c r="P81" s="38">
        <v>3811</v>
      </c>
      <c r="Q81" s="38">
        <v>267</v>
      </c>
      <c r="S81">
        <v>76</v>
      </c>
      <c r="T81">
        <f t="shared" si="17"/>
        <v>8.1817771560088445E-2</v>
      </c>
      <c r="U81">
        <f t="shared" si="18"/>
        <v>2.9062683334085473E-2</v>
      </c>
      <c r="V81">
        <f t="shared" si="19"/>
        <v>3.7298614558418701E-2</v>
      </c>
      <c r="W81">
        <f t="shared" si="20"/>
        <v>7.5815695654136012E-2</v>
      </c>
      <c r="X81">
        <f t="shared" si="21"/>
        <v>5.7042285301683288E-2</v>
      </c>
      <c r="Y81">
        <f t="shared" si="22"/>
        <v>0.10688659235525069</v>
      </c>
      <c r="Z81">
        <f t="shared" si="23"/>
        <v>0.17805406381154384</v>
      </c>
      <c r="AA81">
        <f t="shared" si="24"/>
        <v>7.3784918091971657E-2</v>
      </c>
      <c r="AB81">
        <f t="shared" si="25"/>
        <v>0.11446816192066429</v>
      </c>
      <c r="AC81">
        <f t="shared" si="26"/>
        <v>0.14420777110880456</v>
      </c>
      <c r="AD81">
        <f t="shared" si="27"/>
        <v>5.2123290762218508E-3</v>
      </c>
      <c r="AE81">
        <f t="shared" si="28"/>
        <v>4.3323254659506294E-3</v>
      </c>
      <c r="AF81">
        <f t="shared" si="29"/>
        <v>8.5992147660092971E-2</v>
      </c>
      <c r="AG81">
        <f t="shared" si="30"/>
        <v>6.0246401010875944E-3</v>
      </c>
    </row>
    <row r="82" spans="1:33">
      <c r="A82" s="36">
        <f t="shared" si="31"/>
        <v>2022</v>
      </c>
      <c r="B82" s="36">
        <f t="shared" si="32"/>
        <v>77</v>
      </c>
      <c r="C82" s="37">
        <v>40802</v>
      </c>
      <c r="D82" s="38">
        <v>3374</v>
      </c>
      <c r="E82" s="38">
        <v>1189</v>
      </c>
      <c r="F82" s="38">
        <v>1568</v>
      </c>
      <c r="G82" s="38">
        <v>3209</v>
      </c>
      <c r="H82" s="38">
        <v>2331</v>
      </c>
      <c r="I82" s="38">
        <v>4100</v>
      </c>
      <c r="J82" s="38">
        <v>7401</v>
      </c>
      <c r="K82" s="38">
        <v>2987</v>
      </c>
      <c r="L82" s="38">
        <v>4644</v>
      </c>
      <c r="M82" s="38">
        <v>5845</v>
      </c>
      <c r="N82" s="38">
        <v>194</v>
      </c>
      <c r="O82" s="38">
        <v>205</v>
      </c>
      <c r="P82" s="38">
        <v>3513</v>
      </c>
      <c r="Q82" s="38">
        <v>242</v>
      </c>
      <c r="S82">
        <v>77</v>
      </c>
      <c r="T82">
        <f t="shared" si="17"/>
        <v>8.2692024900740166E-2</v>
      </c>
      <c r="U82">
        <f t="shared" si="18"/>
        <v>2.9140728395666879E-2</v>
      </c>
      <c r="V82">
        <f t="shared" si="19"/>
        <v>3.8429488750551445E-2</v>
      </c>
      <c r="W82">
        <f t="shared" si="20"/>
        <v>7.8648105485025238E-2</v>
      </c>
      <c r="X82">
        <f t="shared" si="21"/>
        <v>5.7129552472917997E-2</v>
      </c>
      <c r="Y82">
        <f t="shared" si="22"/>
        <v>0.10048527032988579</v>
      </c>
      <c r="Z82">
        <f t="shared" si="23"/>
        <v>0.18138816724670359</v>
      </c>
      <c r="AA82">
        <f t="shared" si="24"/>
        <v>7.3207195725699725E-2</v>
      </c>
      <c r="AB82">
        <f t="shared" si="25"/>
        <v>0.11381795010048527</v>
      </c>
      <c r="AC82">
        <f t="shared" si="26"/>
        <v>0.14325278172638597</v>
      </c>
      <c r="AD82">
        <f t="shared" si="27"/>
        <v>4.754668888779962E-3</v>
      </c>
      <c r="AE82">
        <f t="shared" si="28"/>
        <v>5.0242635164942893E-3</v>
      </c>
      <c r="AF82">
        <f t="shared" si="29"/>
        <v>8.6098720650948479E-2</v>
      </c>
      <c r="AG82">
        <f t="shared" si="30"/>
        <v>5.9310818097152102E-3</v>
      </c>
    </row>
    <row r="83" spans="1:33">
      <c r="A83" s="36">
        <f t="shared" si="31"/>
        <v>2022</v>
      </c>
      <c r="B83" s="36">
        <f t="shared" si="32"/>
        <v>78</v>
      </c>
      <c r="C83" s="37">
        <v>40475</v>
      </c>
      <c r="D83" s="38">
        <v>3391</v>
      </c>
      <c r="E83" s="38">
        <v>1159</v>
      </c>
      <c r="F83" s="38">
        <v>1570</v>
      </c>
      <c r="G83" s="38">
        <v>3107</v>
      </c>
      <c r="H83" s="38">
        <v>2348</v>
      </c>
      <c r="I83" s="38">
        <v>4098</v>
      </c>
      <c r="J83" s="38">
        <v>7358</v>
      </c>
      <c r="K83" s="38">
        <v>3030</v>
      </c>
      <c r="L83" s="38">
        <v>4693</v>
      </c>
      <c r="M83" s="38">
        <v>5637</v>
      </c>
      <c r="N83" s="38">
        <v>228</v>
      </c>
      <c r="O83" s="38">
        <v>188</v>
      </c>
      <c r="P83" s="38">
        <v>3427</v>
      </c>
      <c r="Q83" s="38">
        <v>241</v>
      </c>
      <c r="S83">
        <v>78</v>
      </c>
      <c r="T83">
        <f t="shared" si="17"/>
        <v>8.3780111179740574E-2</v>
      </c>
      <c r="U83">
        <f t="shared" si="18"/>
        <v>2.8634959851760344E-2</v>
      </c>
      <c r="V83">
        <f t="shared" si="19"/>
        <v>3.87893761581223E-2</v>
      </c>
      <c r="W83">
        <f t="shared" si="20"/>
        <v>7.676343421865349E-2</v>
      </c>
      <c r="X83">
        <f t="shared" si="21"/>
        <v>5.8011117974058057E-2</v>
      </c>
      <c r="Y83">
        <f t="shared" si="22"/>
        <v>0.10124768375540458</v>
      </c>
      <c r="Z83">
        <f t="shared" si="23"/>
        <v>0.18179122915379864</v>
      </c>
      <c r="AA83">
        <f t="shared" si="24"/>
        <v>7.4861025324274244E-2</v>
      </c>
      <c r="AB83">
        <f t="shared" si="25"/>
        <v>0.11594811612106239</v>
      </c>
      <c r="AC83">
        <f t="shared" si="26"/>
        <v>0.13927115503397158</v>
      </c>
      <c r="AD83">
        <f t="shared" si="27"/>
        <v>5.6331068560840029E-3</v>
      </c>
      <c r="AE83">
        <f t="shared" si="28"/>
        <v>4.6448424953675106E-3</v>
      </c>
      <c r="AF83">
        <f t="shared" si="29"/>
        <v>8.4669549104385428E-2</v>
      </c>
      <c r="AG83">
        <f t="shared" si="30"/>
        <v>5.9542927733168619E-3</v>
      </c>
    </row>
    <row r="84" spans="1:33">
      <c r="A84" s="36">
        <f t="shared" si="31"/>
        <v>2022</v>
      </c>
      <c r="B84" s="36">
        <f t="shared" si="32"/>
        <v>79</v>
      </c>
      <c r="C84" s="37">
        <v>37824</v>
      </c>
      <c r="D84" s="38">
        <v>3128</v>
      </c>
      <c r="E84" s="38">
        <v>1115</v>
      </c>
      <c r="F84" s="38">
        <v>1445</v>
      </c>
      <c r="G84" s="38">
        <v>2786</v>
      </c>
      <c r="H84" s="38">
        <v>2146</v>
      </c>
      <c r="I84" s="38">
        <v>3902</v>
      </c>
      <c r="J84" s="38">
        <v>6828</v>
      </c>
      <c r="K84" s="38">
        <v>2803</v>
      </c>
      <c r="L84" s="38">
        <v>4389</v>
      </c>
      <c r="M84" s="38">
        <v>5322</v>
      </c>
      <c r="N84" s="38">
        <v>218</v>
      </c>
      <c r="O84" s="38">
        <v>215</v>
      </c>
      <c r="P84" s="38">
        <v>3266</v>
      </c>
      <c r="Q84" s="38">
        <v>261</v>
      </c>
      <c r="S84">
        <v>79</v>
      </c>
      <c r="T84">
        <f t="shared" si="17"/>
        <v>8.2698815566835865E-2</v>
      </c>
      <c r="U84">
        <f t="shared" si="18"/>
        <v>2.9478637901861251E-2</v>
      </c>
      <c r="V84">
        <f t="shared" si="19"/>
        <v>3.8203257191201351E-2</v>
      </c>
      <c r="W84">
        <f t="shared" si="20"/>
        <v>7.3656937394247043E-2</v>
      </c>
      <c r="X84">
        <f t="shared" si="21"/>
        <v>5.6736463620981385E-2</v>
      </c>
      <c r="Y84">
        <f t="shared" si="22"/>
        <v>0.10316201353637902</v>
      </c>
      <c r="Z84">
        <f t="shared" si="23"/>
        <v>0.18052030456852791</v>
      </c>
      <c r="AA84">
        <f t="shared" si="24"/>
        <v>7.4106387478849414E-2</v>
      </c>
      <c r="AB84">
        <f t="shared" si="25"/>
        <v>0.11603743654822335</v>
      </c>
      <c r="AC84">
        <f t="shared" si="26"/>
        <v>0.14070431472081218</v>
      </c>
      <c r="AD84">
        <f t="shared" si="27"/>
        <v>5.7635363790186122E-3</v>
      </c>
      <c r="AE84">
        <f t="shared" si="28"/>
        <v>5.6842216582064301E-3</v>
      </c>
      <c r="AF84">
        <f t="shared" si="29"/>
        <v>8.6347292724196278E-2</v>
      </c>
      <c r="AG84">
        <f t="shared" si="30"/>
        <v>6.9003807106598983E-3</v>
      </c>
    </row>
    <row r="85" spans="1:33">
      <c r="A85" s="36">
        <f t="shared" si="31"/>
        <v>2022</v>
      </c>
      <c r="B85" s="36">
        <f t="shared" si="32"/>
        <v>80</v>
      </c>
      <c r="C85" s="37">
        <v>33746</v>
      </c>
      <c r="D85" s="38">
        <v>2713</v>
      </c>
      <c r="E85" s="38">
        <v>945</v>
      </c>
      <c r="F85" s="38">
        <v>1353</v>
      </c>
      <c r="G85" s="38">
        <v>2608</v>
      </c>
      <c r="H85" s="38">
        <v>1884</v>
      </c>
      <c r="I85" s="38">
        <v>3584</v>
      </c>
      <c r="J85" s="38">
        <v>6059</v>
      </c>
      <c r="K85" s="38">
        <v>2495</v>
      </c>
      <c r="L85" s="38">
        <v>3935</v>
      </c>
      <c r="M85" s="38">
        <v>4713</v>
      </c>
      <c r="N85" s="38">
        <v>184</v>
      </c>
      <c r="O85" s="38">
        <v>198</v>
      </c>
      <c r="P85" s="38">
        <v>2862</v>
      </c>
      <c r="Q85" s="38">
        <v>213</v>
      </c>
      <c r="S85">
        <v>80</v>
      </c>
      <c r="T85">
        <f t="shared" si="17"/>
        <v>8.0394713447519708E-2</v>
      </c>
      <c r="U85">
        <f t="shared" si="18"/>
        <v>2.8003318911871036E-2</v>
      </c>
      <c r="V85">
        <f t="shared" si="19"/>
        <v>4.009364072778996E-2</v>
      </c>
      <c r="W85">
        <f t="shared" si="20"/>
        <v>7.7283233568422927E-2</v>
      </c>
      <c r="X85">
        <f t="shared" si="21"/>
        <v>5.5828838973507974E-2</v>
      </c>
      <c r="Y85">
        <f t="shared" si="22"/>
        <v>0.10620517987317016</v>
      </c>
      <c r="Z85">
        <f t="shared" si="23"/>
        <v>0.17954720559473716</v>
      </c>
      <c r="AA85">
        <f t="shared" si="24"/>
        <v>7.3934688555680667E-2</v>
      </c>
      <c r="AB85">
        <f t="shared" si="25"/>
        <v>0.11660641261186511</v>
      </c>
      <c r="AC85">
        <f t="shared" si="26"/>
        <v>0.13966099685888697</v>
      </c>
      <c r="AD85">
        <f t="shared" si="27"/>
        <v>5.4524980738457889E-3</v>
      </c>
      <c r="AE85">
        <f t="shared" si="28"/>
        <v>5.8673620577253602E-3</v>
      </c>
      <c r="AF85">
        <f t="shared" si="29"/>
        <v>8.4810051561666572E-2</v>
      </c>
      <c r="AG85">
        <f t="shared" si="30"/>
        <v>6.3118591833106145E-3</v>
      </c>
    </row>
    <row r="86" spans="1:33">
      <c r="A86" s="36">
        <f t="shared" si="31"/>
        <v>2022</v>
      </c>
      <c r="B86" s="36">
        <f t="shared" si="32"/>
        <v>81</v>
      </c>
      <c r="C86" s="37">
        <v>29158</v>
      </c>
      <c r="D86" s="38">
        <v>2339</v>
      </c>
      <c r="E86" s="38">
        <v>825</v>
      </c>
      <c r="F86" s="38">
        <v>1163</v>
      </c>
      <c r="G86" s="38">
        <v>2046</v>
      </c>
      <c r="H86" s="38">
        <v>1656</v>
      </c>
      <c r="I86" s="38">
        <v>3077</v>
      </c>
      <c r="J86" s="38">
        <v>5372</v>
      </c>
      <c r="K86" s="38">
        <v>2109</v>
      </c>
      <c r="L86" s="38">
        <v>3376</v>
      </c>
      <c r="M86" s="38">
        <v>4214</v>
      </c>
      <c r="N86" s="38">
        <v>149</v>
      </c>
      <c r="O86" s="38">
        <v>131</v>
      </c>
      <c r="P86" s="38">
        <v>2477</v>
      </c>
      <c r="Q86" s="38">
        <v>224</v>
      </c>
      <c r="S86">
        <v>81</v>
      </c>
      <c r="T86">
        <f t="shared" si="17"/>
        <v>8.0218121956238425E-2</v>
      </c>
      <c r="U86">
        <f t="shared" si="18"/>
        <v>2.8294121681871183E-2</v>
      </c>
      <c r="V86">
        <f t="shared" si="19"/>
        <v>3.9886137595171137E-2</v>
      </c>
      <c r="W86">
        <f t="shared" si="20"/>
        <v>7.0169421771040533E-2</v>
      </c>
      <c r="X86">
        <f t="shared" si="21"/>
        <v>5.6794018794155979E-2</v>
      </c>
      <c r="Y86">
        <f t="shared" si="22"/>
        <v>0.10552849989711229</v>
      </c>
      <c r="Z86">
        <f t="shared" si="23"/>
        <v>0.18423760203031758</v>
      </c>
      <c r="AA86">
        <f t="shared" si="24"/>
        <v>7.2330063790383425E-2</v>
      </c>
      <c r="AB86">
        <f t="shared" si="25"/>
        <v>0.11578297551272378</v>
      </c>
      <c r="AC86">
        <f t="shared" si="26"/>
        <v>0.14452294396049112</v>
      </c>
      <c r="AD86">
        <f t="shared" si="27"/>
        <v>5.1100898552712808E-3</v>
      </c>
      <c r="AE86">
        <f t="shared" si="28"/>
        <v>4.4927635640304546E-3</v>
      </c>
      <c r="AF86">
        <f t="shared" si="29"/>
        <v>8.4950956855751422E-2</v>
      </c>
      <c r="AG86">
        <f t="shared" si="30"/>
        <v>7.6822827354413887E-3</v>
      </c>
    </row>
    <row r="87" spans="1:33">
      <c r="A87" s="36">
        <f t="shared" si="31"/>
        <v>2022</v>
      </c>
      <c r="B87" s="36">
        <f t="shared" si="32"/>
        <v>82</v>
      </c>
      <c r="C87" s="37">
        <v>28824</v>
      </c>
      <c r="D87" s="38">
        <v>2361</v>
      </c>
      <c r="E87" s="38">
        <v>877</v>
      </c>
      <c r="F87" s="38">
        <v>1043</v>
      </c>
      <c r="G87" s="38">
        <v>2114</v>
      </c>
      <c r="H87" s="38">
        <v>1527</v>
      </c>
      <c r="I87" s="38">
        <v>3074</v>
      </c>
      <c r="J87" s="38">
        <v>5275</v>
      </c>
      <c r="K87" s="38">
        <v>2128</v>
      </c>
      <c r="L87" s="38">
        <v>3258</v>
      </c>
      <c r="M87" s="38">
        <v>4032</v>
      </c>
      <c r="N87" s="38">
        <v>179</v>
      </c>
      <c r="O87" s="38">
        <v>136</v>
      </c>
      <c r="P87" s="38">
        <v>2605</v>
      </c>
      <c r="Q87" s="38">
        <v>215</v>
      </c>
      <c r="S87">
        <v>82</v>
      </c>
      <c r="T87">
        <f t="shared" si="17"/>
        <v>8.1910907577019146E-2</v>
      </c>
      <c r="U87">
        <f t="shared" si="18"/>
        <v>3.0426033860671664E-2</v>
      </c>
      <c r="V87">
        <f t="shared" si="19"/>
        <v>3.6185123508187624E-2</v>
      </c>
      <c r="W87">
        <f t="shared" si="20"/>
        <v>7.3341659728004438E-2</v>
      </c>
      <c r="X87">
        <f t="shared" si="21"/>
        <v>5.29766860949209E-2</v>
      </c>
      <c r="Y87">
        <f t="shared" si="22"/>
        <v>0.10664723841243408</v>
      </c>
      <c r="Z87">
        <f t="shared" si="23"/>
        <v>0.18300721620871496</v>
      </c>
      <c r="AA87">
        <f t="shared" si="24"/>
        <v>7.382736608381904E-2</v>
      </c>
      <c r="AB87">
        <f t="shared" si="25"/>
        <v>0.1130308076602831</v>
      </c>
      <c r="AC87">
        <f t="shared" si="26"/>
        <v>0.1398834304746045</v>
      </c>
      <c r="AD87">
        <f t="shared" si="27"/>
        <v>6.2101026922009436E-3</v>
      </c>
      <c r="AE87">
        <f t="shared" si="28"/>
        <v>4.7182903136275328E-3</v>
      </c>
      <c r="AF87">
        <f t="shared" si="29"/>
        <v>9.0376075492645022E-2</v>
      </c>
      <c r="AG87">
        <f t="shared" si="30"/>
        <v>7.4590618928670549E-3</v>
      </c>
    </row>
    <row r="88" spans="1:33">
      <c r="A88" s="36">
        <f t="shared" si="31"/>
        <v>2022</v>
      </c>
      <c r="B88" s="36">
        <f t="shared" si="32"/>
        <v>83</v>
      </c>
      <c r="C88" s="37">
        <v>26741</v>
      </c>
      <c r="D88" s="38">
        <v>2076</v>
      </c>
      <c r="E88" s="38">
        <v>796</v>
      </c>
      <c r="F88" s="38">
        <v>996</v>
      </c>
      <c r="G88" s="38">
        <v>1930</v>
      </c>
      <c r="H88" s="38">
        <v>1545</v>
      </c>
      <c r="I88" s="38">
        <v>2705</v>
      </c>
      <c r="J88" s="38">
        <v>5083</v>
      </c>
      <c r="K88" s="38">
        <v>1883</v>
      </c>
      <c r="L88" s="38">
        <v>3099</v>
      </c>
      <c r="M88" s="38">
        <v>3754</v>
      </c>
      <c r="N88" s="38">
        <v>137</v>
      </c>
      <c r="O88" s="38">
        <v>140</v>
      </c>
      <c r="P88" s="38">
        <v>2398</v>
      </c>
      <c r="Q88" s="38">
        <v>199</v>
      </c>
      <c r="S88">
        <v>83</v>
      </c>
      <c r="T88">
        <f t="shared" si="17"/>
        <v>7.7633596350173889E-2</v>
      </c>
      <c r="U88">
        <f t="shared" si="18"/>
        <v>2.9767024419430837E-2</v>
      </c>
      <c r="V88">
        <f t="shared" si="19"/>
        <v>3.724617628360944E-2</v>
      </c>
      <c r="W88">
        <f t="shared" si="20"/>
        <v>7.2173815489323515E-2</v>
      </c>
      <c r="X88">
        <f t="shared" si="21"/>
        <v>5.7776448150779702E-2</v>
      </c>
      <c r="Y88">
        <f t="shared" si="22"/>
        <v>0.10115552896301559</v>
      </c>
      <c r="Z88">
        <f t="shared" si="23"/>
        <v>0.19008264462809918</v>
      </c>
      <c r="AA88">
        <f t="shared" si="24"/>
        <v>7.0416214801241536E-2</v>
      </c>
      <c r="AB88">
        <f t="shared" si="25"/>
        <v>0.11588945813544745</v>
      </c>
      <c r="AC88">
        <f t="shared" si="26"/>
        <v>0.14038368049063235</v>
      </c>
      <c r="AD88">
        <f t="shared" si="27"/>
        <v>5.1232190269623421E-3</v>
      </c>
      <c r="AE88">
        <f t="shared" si="28"/>
        <v>5.2354063049250216E-3</v>
      </c>
      <c r="AF88">
        <f t="shared" si="29"/>
        <v>8.9675030851501442E-2</v>
      </c>
      <c r="AG88">
        <f t="shared" si="30"/>
        <v>7.4417561048577092E-3</v>
      </c>
    </row>
    <row r="89" spans="1:33">
      <c r="A89" s="36">
        <f t="shared" si="31"/>
        <v>2022</v>
      </c>
      <c r="B89" s="36">
        <f t="shared" si="32"/>
        <v>84</v>
      </c>
      <c r="C89" s="37">
        <v>24564</v>
      </c>
      <c r="D89" s="38">
        <v>1912</v>
      </c>
      <c r="E89" s="38">
        <v>685</v>
      </c>
      <c r="F89" s="38">
        <v>884</v>
      </c>
      <c r="G89" s="38">
        <v>1742</v>
      </c>
      <c r="H89" s="38">
        <v>1319</v>
      </c>
      <c r="I89" s="38">
        <v>2637</v>
      </c>
      <c r="J89" s="38">
        <v>4651</v>
      </c>
      <c r="K89" s="38">
        <v>1750</v>
      </c>
      <c r="L89" s="38">
        <v>2803</v>
      </c>
      <c r="M89" s="38">
        <v>3604</v>
      </c>
      <c r="N89" s="38">
        <v>128</v>
      </c>
      <c r="O89" s="38">
        <v>114</v>
      </c>
      <c r="P89" s="38">
        <v>2166</v>
      </c>
      <c r="Q89" s="38">
        <v>169</v>
      </c>
      <c r="S89">
        <v>84</v>
      </c>
      <c r="T89">
        <f t="shared" si="17"/>
        <v>7.7837485751506272E-2</v>
      </c>
      <c r="U89">
        <f t="shared" si="18"/>
        <v>2.7886337730011399E-2</v>
      </c>
      <c r="V89">
        <f t="shared" si="19"/>
        <v>3.5987624165445369E-2</v>
      </c>
      <c r="W89">
        <f t="shared" si="20"/>
        <v>7.0916788796612923E-2</v>
      </c>
      <c r="X89">
        <f t="shared" si="21"/>
        <v>5.3696466373554796E-2</v>
      </c>
      <c r="Y89">
        <f t="shared" si="22"/>
        <v>0.10735222276502199</v>
      </c>
      <c r="Z89">
        <f t="shared" si="23"/>
        <v>0.18934212668946426</v>
      </c>
      <c r="AA89">
        <f t="shared" si="24"/>
        <v>7.1242468653313795E-2</v>
      </c>
      <c r="AB89">
        <f t="shared" si="25"/>
        <v>0.11411007979156489</v>
      </c>
      <c r="AC89">
        <f t="shared" si="26"/>
        <v>0.14671877544373879</v>
      </c>
      <c r="AD89">
        <f t="shared" si="27"/>
        <v>5.2108777072138093E-3</v>
      </c>
      <c r="AE89">
        <f t="shared" si="28"/>
        <v>4.6409379579872984E-3</v>
      </c>
      <c r="AF89">
        <f t="shared" si="29"/>
        <v>8.8177821201758669E-2</v>
      </c>
      <c r="AG89">
        <f t="shared" si="30"/>
        <v>6.8799869728057321E-3</v>
      </c>
    </row>
    <row r="90" spans="1:33">
      <c r="A90" s="36">
        <f t="shared" si="31"/>
        <v>2022</v>
      </c>
      <c r="B90" s="36">
        <f t="shared" si="32"/>
        <v>85</v>
      </c>
      <c r="C90" s="37">
        <v>21731</v>
      </c>
      <c r="D90" s="38">
        <v>1737</v>
      </c>
      <c r="E90" s="38">
        <v>610</v>
      </c>
      <c r="F90" s="38">
        <v>843</v>
      </c>
      <c r="G90" s="38">
        <v>1534</v>
      </c>
      <c r="H90" s="38">
        <v>1254</v>
      </c>
      <c r="I90" s="38">
        <v>2269</v>
      </c>
      <c r="J90" s="38">
        <v>4203</v>
      </c>
      <c r="K90" s="38">
        <v>1564</v>
      </c>
      <c r="L90" s="38">
        <v>2410</v>
      </c>
      <c r="M90" s="38">
        <v>3058</v>
      </c>
      <c r="N90" s="38">
        <v>115</v>
      </c>
      <c r="O90" s="38">
        <v>105</v>
      </c>
      <c r="P90" s="38">
        <v>1886</v>
      </c>
      <c r="Q90" s="38">
        <v>143</v>
      </c>
      <c r="S90">
        <v>85</v>
      </c>
      <c r="T90">
        <f t="shared" si="17"/>
        <v>7.9931894528553676E-2</v>
      </c>
      <c r="U90">
        <f t="shared" si="18"/>
        <v>2.807049836638903E-2</v>
      </c>
      <c r="V90">
        <f t="shared" si="19"/>
        <v>3.8792508398140906E-2</v>
      </c>
      <c r="W90">
        <f t="shared" si="20"/>
        <v>7.0590400809902906E-2</v>
      </c>
      <c r="X90">
        <f t="shared" si="21"/>
        <v>5.7705581887625972E-2</v>
      </c>
      <c r="Y90">
        <f t="shared" si="22"/>
        <v>0.10441305048087984</v>
      </c>
      <c r="Z90">
        <f t="shared" si="23"/>
        <v>0.19341033546546407</v>
      </c>
      <c r="AA90">
        <f t="shared" si="24"/>
        <v>7.1970917123004005E-2</v>
      </c>
      <c r="AB90">
        <f t="shared" si="25"/>
        <v>0.11090147715245502</v>
      </c>
      <c r="AC90">
        <f t="shared" si="26"/>
        <v>0.14072062951543876</v>
      </c>
      <c r="AD90">
        <f t="shared" si="27"/>
        <v>5.2919792002208829E-3</v>
      </c>
      <c r="AE90">
        <f t="shared" si="28"/>
        <v>4.8318070958538496E-3</v>
      </c>
      <c r="AF90">
        <f t="shared" si="29"/>
        <v>8.678845888362248E-2</v>
      </c>
      <c r="AG90">
        <f t="shared" si="30"/>
        <v>6.5804610924485758E-3</v>
      </c>
    </row>
    <row r="91" spans="1:33">
      <c r="A91" s="36">
        <f t="shared" si="31"/>
        <v>2022</v>
      </c>
      <c r="B91" s="36">
        <f t="shared" si="32"/>
        <v>86</v>
      </c>
      <c r="C91" s="37">
        <v>19651</v>
      </c>
      <c r="D91" s="38">
        <v>1459</v>
      </c>
      <c r="E91" s="38">
        <v>532</v>
      </c>
      <c r="F91" s="38">
        <v>751</v>
      </c>
      <c r="G91" s="38">
        <v>1467</v>
      </c>
      <c r="H91" s="38">
        <v>1080</v>
      </c>
      <c r="I91" s="38">
        <v>2071</v>
      </c>
      <c r="J91" s="38">
        <v>3699</v>
      </c>
      <c r="K91" s="38">
        <v>1374</v>
      </c>
      <c r="L91" s="38">
        <v>2275</v>
      </c>
      <c r="M91" s="38">
        <v>2875</v>
      </c>
      <c r="N91" s="38">
        <v>84</v>
      </c>
      <c r="O91" s="38">
        <v>88</v>
      </c>
      <c r="P91" s="38">
        <v>1773</v>
      </c>
      <c r="Q91" s="38">
        <v>123</v>
      </c>
      <c r="S91">
        <v>86</v>
      </c>
      <c r="T91">
        <f t="shared" si="17"/>
        <v>7.4245585466388472E-2</v>
      </c>
      <c r="U91">
        <f t="shared" si="18"/>
        <v>2.7072413617627602E-2</v>
      </c>
      <c r="V91">
        <f t="shared" si="19"/>
        <v>3.8216884636914153E-2</v>
      </c>
      <c r="W91">
        <f t="shared" si="20"/>
        <v>7.4652689430563329E-2</v>
      </c>
      <c r="X91">
        <f t="shared" si="21"/>
        <v>5.4959035163604904E-2</v>
      </c>
      <c r="Y91">
        <f t="shared" si="22"/>
        <v>0.10538903872576459</v>
      </c>
      <c r="Z91">
        <f t="shared" si="23"/>
        <v>0.18823469543534679</v>
      </c>
      <c r="AA91">
        <f t="shared" si="24"/>
        <v>6.9920105847030692E-2</v>
      </c>
      <c r="AB91">
        <f t="shared" si="25"/>
        <v>0.1157701898122233</v>
      </c>
      <c r="AC91">
        <f t="shared" si="26"/>
        <v>0.14630298712533713</v>
      </c>
      <c r="AD91">
        <f t="shared" si="27"/>
        <v>4.2745916238359372E-3</v>
      </c>
      <c r="AE91">
        <f t="shared" si="28"/>
        <v>4.4781436059233631E-3</v>
      </c>
      <c r="AF91">
        <f t="shared" si="29"/>
        <v>9.0224416060251389E-2</v>
      </c>
      <c r="AG91">
        <f t="shared" si="30"/>
        <v>6.2592234491883362E-3</v>
      </c>
    </row>
    <row r="92" spans="1:33">
      <c r="A92" s="36">
        <f t="shared" si="31"/>
        <v>2022</v>
      </c>
      <c r="B92" s="36">
        <f t="shared" si="32"/>
        <v>87</v>
      </c>
      <c r="C92" s="37">
        <v>17421</v>
      </c>
      <c r="D92" s="38">
        <v>1307</v>
      </c>
      <c r="E92" s="38">
        <v>484</v>
      </c>
      <c r="F92" s="38">
        <v>642</v>
      </c>
      <c r="G92" s="38">
        <v>1243</v>
      </c>
      <c r="H92" s="38">
        <v>925</v>
      </c>
      <c r="I92" s="38">
        <v>1851</v>
      </c>
      <c r="J92" s="38">
        <v>3380</v>
      </c>
      <c r="K92" s="38">
        <v>1273</v>
      </c>
      <c r="L92" s="38">
        <v>1870</v>
      </c>
      <c r="M92" s="38">
        <v>2526</v>
      </c>
      <c r="N92" s="38">
        <v>94</v>
      </c>
      <c r="O92" s="38">
        <v>82</v>
      </c>
      <c r="P92" s="38">
        <v>1636</v>
      </c>
      <c r="Q92" s="38">
        <v>108</v>
      </c>
      <c r="S92">
        <v>87</v>
      </c>
      <c r="T92">
        <f t="shared" si="17"/>
        <v>7.5024395844096203E-2</v>
      </c>
      <c r="U92">
        <f t="shared" si="18"/>
        <v>2.7782561276620172E-2</v>
      </c>
      <c r="V92">
        <f t="shared" si="19"/>
        <v>3.685207508179783E-2</v>
      </c>
      <c r="W92">
        <f t="shared" si="20"/>
        <v>7.1350668733138167E-2</v>
      </c>
      <c r="X92">
        <f t="shared" si="21"/>
        <v>5.3096837150565408E-2</v>
      </c>
      <c r="Y92">
        <f t="shared" si="22"/>
        <v>0.10625107628723954</v>
      </c>
      <c r="Z92">
        <f t="shared" si="23"/>
        <v>0.19401871304747145</v>
      </c>
      <c r="AA92">
        <f t="shared" si="24"/>
        <v>7.3072728316399743E-2</v>
      </c>
      <c r="AB92">
        <f t="shared" si="25"/>
        <v>0.10734171402330521</v>
      </c>
      <c r="AC92">
        <f t="shared" si="26"/>
        <v>0.14499741691062512</v>
      </c>
      <c r="AD92">
        <f t="shared" si="27"/>
        <v>5.3957866942196198E-3</v>
      </c>
      <c r="AE92">
        <f t="shared" si="28"/>
        <v>4.706962860914988E-3</v>
      </c>
      <c r="AF92">
        <f t="shared" si="29"/>
        <v>9.3909649273864873E-2</v>
      </c>
      <c r="AG92">
        <f t="shared" si="30"/>
        <v>6.1994144997416911E-3</v>
      </c>
    </row>
    <row r="93" spans="1:33">
      <c r="A93" s="36">
        <f t="shared" si="31"/>
        <v>2022</v>
      </c>
      <c r="B93" s="36">
        <f t="shared" si="32"/>
        <v>88</v>
      </c>
      <c r="C93" s="37">
        <v>14869</v>
      </c>
      <c r="D93" s="38">
        <v>1103</v>
      </c>
      <c r="E93" s="38">
        <v>425</v>
      </c>
      <c r="F93" s="38">
        <v>550</v>
      </c>
      <c r="G93" s="38">
        <v>1087</v>
      </c>
      <c r="H93" s="38">
        <v>709</v>
      </c>
      <c r="I93" s="38">
        <v>1613</v>
      </c>
      <c r="J93" s="38">
        <v>2909</v>
      </c>
      <c r="K93" s="38">
        <v>1086</v>
      </c>
      <c r="L93" s="38">
        <v>1504</v>
      </c>
      <c r="M93" s="38">
        <v>2251</v>
      </c>
      <c r="N93" s="38">
        <v>83</v>
      </c>
      <c r="O93" s="38">
        <v>59</v>
      </c>
      <c r="P93" s="38">
        <v>1401</v>
      </c>
      <c r="Q93" s="38">
        <v>89</v>
      </c>
      <c r="S93">
        <v>88</v>
      </c>
      <c r="T93">
        <f t="shared" si="17"/>
        <v>7.4181182325643955E-2</v>
      </c>
      <c r="U93">
        <f t="shared" si="18"/>
        <v>2.8582957831730448E-2</v>
      </c>
      <c r="V93">
        <f t="shared" si="19"/>
        <v>3.6989710135180577E-2</v>
      </c>
      <c r="W93">
        <f t="shared" si="20"/>
        <v>7.3105118030802343E-2</v>
      </c>
      <c r="X93">
        <f t="shared" si="21"/>
        <v>4.7683099065169141E-2</v>
      </c>
      <c r="Y93">
        <f t="shared" si="22"/>
        <v>0.1084807317237205</v>
      </c>
      <c r="Z93">
        <f t="shared" si="23"/>
        <v>0.19564193960589146</v>
      </c>
      <c r="AA93">
        <f t="shared" si="24"/>
        <v>7.3037864012374734E-2</v>
      </c>
      <c r="AB93">
        <f t="shared" si="25"/>
        <v>0.10115004371511198</v>
      </c>
      <c r="AC93">
        <f t="shared" si="26"/>
        <v>0.15138879548052997</v>
      </c>
      <c r="AD93">
        <f t="shared" si="27"/>
        <v>5.5820835294908867E-3</v>
      </c>
      <c r="AE93">
        <f t="shared" si="28"/>
        <v>3.9679870872284615E-3</v>
      </c>
      <c r="AF93">
        <f t="shared" si="29"/>
        <v>9.4222879817069075E-2</v>
      </c>
      <c r="AG93">
        <f t="shared" si="30"/>
        <v>5.9856076400564935E-3</v>
      </c>
    </row>
    <row r="94" spans="1:33">
      <c r="A94" s="36">
        <f t="shared" si="31"/>
        <v>2022</v>
      </c>
      <c r="B94" s="36">
        <f t="shared" si="32"/>
        <v>89</v>
      </c>
      <c r="C94" s="37">
        <v>12760</v>
      </c>
      <c r="D94" s="38">
        <v>991</v>
      </c>
      <c r="E94" s="38">
        <v>393</v>
      </c>
      <c r="F94" s="38">
        <v>464</v>
      </c>
      <c r="G94" s="38">
        <v>919</v>
      </c>
      <c r="H94" s="38">
        <v>639</v>
      </c>
      <c r="I94" s="38">
        <v>1316</v>
      </c>
      <c r="J94" s="38">
        <v>2525</v>
      </c>
      <c r="K94" s="38">
        <v>929</v>
      </c>
      <c r="L94" s="38">
        <v>1346</v>
      </c>
      <c r="M94" s="38">
        <v>1911</v>
      </c>
      <c r="N94" s="38">
        <v>61</v>
      </c>
      <c r="O94" s="38">
        <v>50</v>
      </c>
      <c r="P94" s="38">
        <v>1115</v>
      </c>
      <c r="Q94" s="38">
        <v>101</v>
      </c>
      <c r="S94">
        <v>89</v>
      </c>
      <c r="T94">
        <f t="shared" si="17"/>
        <v>7.7664576802507837E-2</v>
      </c>
      <c r="U94">
        <f t="shared" si="18"/>
        <v>3.0799373040752351E-2</v>
      </c>
      <c r="V94">
        <f t="shared" si="19"/>
        <v>3.6363636363636362E-2</v>
      </c>
      <c r="W94">
        <f t="shared" si="20"/>
        <v>7.2021943573667715E-2</v>
      </c>
      <c r="X94">
        <f t="shared" si="21"/>
        <v>5.0078369905956113E-2</v>
      </c>
      <c r="Y94">
        <f t="shared" si="22"/>
        <v>0.10313479623824451</v>
      </c>
      <c r="Z94">
        <f t="shared" si="23"/>
        <v>0.19788401253918494</v>
      </c>
      <c r="AA94">
        <f t="shared" si="24"/>
        <v>7.2805642633228834E-2</v>
      </c>
      <c r="AB94">
        <f t="shared" si="25"/>
        <v>0.10548589341692791</v>
      </c>
      <c r="AC94">
        <f t="shared" si="26"/>
        <v>0.14976489028213166</v>
      </c>
      <c r="AD94">
        <f t="shared" si="27"/>
        <v>4.7805642633228836E-3</v>
      </c>
      <c r="AE94">
        <f t="shared" si="28"/>
        <v>3.9184952978056423E-3</v>
      </c>
      <c r="AF94">
        <f t="shared" si="29"/>
        <v>8.7382445141065829E-2</v>
      </c>
      <c r="AG94">
        <f t="shared" si="30"/>
        <v>7.9153605015673985E-3</v>
      </c>
    </row>
    <row r="95" spans="1:33">
      <c r="A95" s="36">
        <f t="shared" si="31"/>
        <v>2022</v>
      </c>
      <c r="B95" s="36">
        <f t="shared" si="32"/>
        <v>90</v>
      </c>
      <c r="C95" s="37">
        <v>44964</v>
      </c>
      <c r="D95" s="38">
        <v>3328</v>
      </c>
      <c r="E95" s="38">
        <v>1313</v>
      </c>
      <c r="F95" s="38">
        <v>1599</v>
      </c>
      <c r="G95" s="38">
        <v>3210</v>
      </c>
      <c r="H95" s="38">
        <v>2251</v>
      </c>
      <c r="I95" s="38">
        <v>4844</v>
      </c>
      <c r="J95" s="38">
        <v>8761</v>
      </c>
      <c r="K95" s="38">
        <v>3169</v>
      </c>
      <c r="L95" s="38">
        <v>4248</v>
      </c>
      <c r="M95" s="38">
        <v>6999</v>
      </c>
      <c r="N95" s="38">
        <v>237</v>
      </c>
      <c r="O95" s="38">
        <v>193</v>
      </c>
      <c r="P95" s="38">
        <v>4508</v>
      </c>
      <c r="Q95" s="38">
        <v>304</v>
      </c>
      <c r="S95">
        <v>90</v>
      </c>
      <c r="T95">
        <f t="shared" si="17"/>
        <v>7.4014767369451118E-2</v>
      </c>
      <c r="U95">
        <f t="shared" si="18"/>
        <v>2.920113868872876E-2</v>
      </c>
      <c r="V95">
        <f t="shared" si="19"/>
        <v>3.5561782759540965E-2</v>
      </c>
      <c r="W95">
        <f t="shared" si="20"/>
        <v>7.1390445689885243E-2</v>
      </c>
      <c r="X95">
        <f t="shared" si="21"/>
        <v>5.0062272039854104E-2</v>
      </c>
      <c r="Y95">
        <f t="shared" si="22"/>
        <v>0.10773062894760253</v>
      </c>
      <c r="Z95">
        <f t="shared" si="23"/>
        <v>0.1948447647006494</v>
      </c>
      <c r="AA95">
        <f t="shared" si="24"/>
        <v>7.0478605106307268E-2</v>
      </c>
      <c r="AB95">
        <f t="shared" si="25"/>
        <v>9.4475580464371503E-2</v>
      </c>
      <c r="AC95">
        <f t="shared" si="26"/>
        <v>0.15565785962103015</v>
      </c>
      <c r="AD95">
        <f t="shared" si="27"/>
        <v>5.2708833733653591E-3</v>
      </c>
      <c r="AE95">
        <f t="shared" si="28"/>
        <v>4.2923227470865579E-3</v>
      </c>
      <c r="AF95">
        <f t="shared" si="29"/>
        <v>0.10025798416510986</v>
      </c>
      <c r="AG95">
        <f t="shared" si="30"/>
        <v>6.7609643270171689E-3</v>
      </c>
    </row>
    <row r="96" spans="1:33">
      <c r="A96" s="39"/>
      <c r="B96" s="39"/>
      <c r="C96" s="40"/>
      <c r="D96" s="41"/>
      <c r="E96" s="41"/>
      <c r="F96" s="41"/>
      <c r="G96" s="41"/>
      <c r="H96" s="41"/>
      <c r="I96" s="41"/>
      <c r="J96" s="41"/>
      <c r="K96" s="41"/>
      <c r="L96" s="41"/>
      <c r="M96" s="41"/>
      <c r="N96" s="41"/>
      <c r="O96" s="41"/>
      <c r="P96" s="41"/>
      <c r="Q96" s="41"/>
    </row>
    <row r="97" spans="1:17">
      <c r="A97" s="39"/>
      <c r="B97" s="39"/>
      <c r="C97" s="40"/>
      <c r="D97" s="41"/>
      <c r="E97" s="41"/>
      <c r="F97" s="41"/>
      <c r="G97" s="41"/>
      <c r="H97" s="41"/>
      <c r="I97" s="41"/>
      <c r="J97" s="41"/>
      <c r="K97" s="41"/>
      <c r="L97" s="41"/>
      <c r="M97" s="41"/>
      <c r="N97" s="41"/>
      <c r="O97" s="41"/>
      <c r="P97" s="41"/>
      <c r="Q97" s="41"/>
    </row>
    <row r="98" spans="1:17">
      <c r="A98" s="39"/>
      <c r="B98" s="39"/>
      <c r="C98" s="40"/>
      <c r="D98" s="41"/>
      <c r="E98" s="41"/>
      <c r="F98" s="41"/>
      <c r="G98" s="41"/>
      <c r="H98" s="41"/>
      <c r="I98" s="41"/>
      <c r="J98" s="41"/>
      <c r="K98" s="41"/>
      <c r="L98" s="41"/>
      <c r="M98" s="41"/>
      <c r="N98" s="41"/>
      <c r="O98" s="41"/>
      <c r="P98" s="41"/>
      <c r="Q98" s="41"/>
    </row>
    <row r="99" spans="1:17">
      <c r="A99" s="39"/>
      <c r="B99" s="39"/>
      <c r="C99" s="40"/>
      <c r="D99" s="41"/>
      <c r="E99" s="41"/>
      <c r="F99" s="41"/>
      <c r="G99" s="41"/>
      <c r="H99" s="41"/>
      <c r="I99" s="41"/>
      <c r="J99" s="41"/>
      <c r="K99" s="41"/>
      <c r="L99" s="41"/>
      <c r="M99" s="41"/>
      <c r="N99" s="41"/>
      <c r="O99" s="41"/>
      <c r="P99" s="41"/>
      <c r="Q99" s="41"/>
    </row>
    <row r="100" spans="1:17">
      <c r="A100" s="39"/>
      <c r="B100" s="39"/>
      <c r="C100" s="40"/>
      <c r="D100" s="41"/>
      <c r="E100" s="41"/>
      <c r="F100" s="41"/>
      <c r="G100" s="41"/>
      <c r="H100" s="41"/>
      <c r="I100" s="41"/>
      <c r="J100" s="41"/>
      <c r="K100" s="41"/>
      <c r="L100" s="41"/>
      <c r="M100" s="41"/>
      <c r="N100" s="41"/>
      <c r="O100" s="41"/>
      <c r="P100" s="41"/>
      <c r="Q100" s="41"/>
    </row>
    <row r="101" spans="1:17">
      <c r="A101" s="39"/>
      <c r="B101" s="39"/>
      <c r="C101" s="40"/>
      <c r="D101" s="41"/>
      <c r="E101" s="41"/>
      <c r="F101" s="41"/>
      <c r="G101" s="41"/>
      <c r="H101" s="41"/>
      <c r="I101" s="41"/>
      <c r="J101" s="41"/>
      <c r="K101" s="41"/>
      <c r="L101" s="41"/>
      <c r="M101" s="41"/>
      <c r="N101" s="41"/>
      <c r="O101" s="41"/>
      <c r="P101" s="41"/>
      <c r="Q101" s="41"/>
    </row>
    <row r="102" spans="1:17">
      <c r="A102" s="39"/>
      <c r="B102" s="39"/>
      <c r="C102" s="40"/>
      <c r="D102" s="41"/>
      <c r="E102" s="41"/>
      <c r="F102" s="41"/>
      <c r="G102" s="41"/>
      <c r="H102" s="41"/>
      <c r="I102" s="41"/>
      <c r="J102" s="41"/>
      <c r="K102" s="41"/>
      <c r="L102" s="41"/>
      <c r="M102" s="41"/>
      <c r="N102" s="41"/>
      <c r="O102" s="41"/>
      <c r="P102" s="41"/>
      <c r="Q102" s="41"/>
    </row>
    <row r="103" spans="1:17">
      <c r="A103" s="39"/>
      <c r="B103" s="39"/>
      <c r="C103" s="40"/>
      <c r="D103" s="41"/>
      <c r="E103" s="41"/>
      <c r="F103" s="41"/>
      <c r="G103" s="41"/>
      <c r="H103" s="41"/>
      <c r="I103" s="41"/>
      <c r="J103" s="41"/>
      <c r="K103" s="41"/>
      <c r="L103" s="41"/>
      <c r="M103" s="41"/>
      <c r="N103" s="41"/>
      <c r="O103" s="41"/>
      <c r="P103" s="41"/>
      <c r="Q103" s="41"/>
    </row>
    <row r="104" spans="1:17">
      <c r="A104" s="39"/>
      <c r="B104" s="39"/>
      <c r="C104" s="40"/>
      <c r="D104" s="41"/>
      <c r="E104" s="41"/>
      <c r="F104" s="41"/>
      <c r="G104" s="41"/>
      <c r="H104" s="41"/>
      <c r="I104" s="41"/>
      <c r="J104" s="41"/>
      <c r="K104" s="41"/>
      <c r="L104" s="41"/>
      <c r="M104" s="41"/>
      <c r="N104" s="41"/>
      <c r="O104" s="41"/>
      <c r="P104" s="41"/>
      <c r="Q104" s="41"/>
    </row>
    <row r="105" spans="1:17">
      <c r="A105" s="39"/>
      <c r="B105" s="39"/>
      <c r="C105" s="40"/>
      <c r="D105" s="41"/>
      <c r="E105" s="41"/>
      <c r="F105" s="41"/>
      <c r="G105" s="41"/>
      <c r="H105" s="41"/>
      <c r="I105" s="41"/>
      <c r="J105" s="41"/>
      <c r="K105" s="41"/>
      <c r="L105" s="41"/>
      <c r="M105" s="41"/>
      <c r="N105" s="41"/>
      <c r="O105" s="41"/>
      <c r="P105" s="41"/>
      <c r="Q105" s="41"/>
    </row>
    <row r="106" spans="1:17">
      <c r="A106" s="39"/>
      <c r="B106" s="39"/>
      <c r="C106" s="40"/>
      <c r="D106" s="41"/>
      <c r="E106" s="41"/>
      <c r="F106" s="41"/>
      <c r="G106" s="41"/>
      <c r="H106" s="41"/>
      <c r="I106" s="41"/>
      <c r="J106" s="41"/>
      <c r="K106" s="41"/>
      <c r="L106" s="41"/>
      <c r="M106" s="41"/>
      <c r="N106" s="41"/>
      <c r="O106" s="41"/>
      <c r="P106" s="41"/>
      <c r="Q106" s="41"/>
    </row>
    <row r="107" spans="1:17">
      <c r="A107" s="39"/>
      <c r="B107" s="39"/>
      <c r="C107" s="40"/>
      <c r="D107" s="41"/>
      <c r="E107" s="41"/>
      <c r="F107" s="41"/>
      <c r="G107" s="41"/>
      <c r="H107" s="41"/>
      <c r="I107" s="41"/>
      <c r="J107" s="41"/>
      <c r="K107" s="41"/>
      <c r="L107" s="41"/>
      <c r="M107" s="41"/>
      <c r="N107" s="41"/>
      <c r="O107" s="41"/>
      <c r="P107" s="41"/>
      <c r="Q107" s="41"/>
    </row>
    <row r="108" spans="1:17">
      <c r="A108" s="39"/>
      <c r="B108" s="39"/>
      <c r="C108" s="40"/>
      <c r="D108" s="41"/>
      <c r="E108" s="41"/>
      <c r="F108" s="41"/>
      <c r="G108" s="41"/>
      <c r="H108" s="41"/>
      <c r="I108" s="41"/>
      <c r="J108" s="41"/>
      <c r="K108" s="41"/>
      <c r="L108" s="41"/>
      <c r="M108" s="41"/>
      <c r="N108" s="41"/>
      <c r="O108" s="41"/>
      <c r="P108" s="41"/>
      <c r="Q108" s="41"/>
    </row>
    <row r="109" spans="1:17">
      <c r="A109" s="39"/>
      <c r="B109" s="39"/>
      <c r="C109" s="40"/>
      <c r="D109" s="41"/>
      <c r="E109" s="41"/>
      <c r="F109" s="41"/>
      <c r="G109" s="41"/>
      <c r="H109" s="41"/>
      <c r="I109" s="41"/>
      <c r="J109" s="41"/>
      <c r="K109" s="41"/>
      <c r="L109" s="41"/>
      <c r="M109" s="41"/>
      <c r="N109" s="41"/>
      <c r="O109" s="41"/>
      <c r="P109" s="41"/>
      <c r="Q109" s="41"/>
    </row>
    <row r="110" spans="1:17">
      <c r="A110" s="39"/>
      <c r="B110" s="39"/>
      <c r="C110" s="40"/>
      <c r="D110" s="41"/>
      <c r="E110" s="41"/>
      <c r="F110" s="41"/>
      <c r="G110" s="41"/>
      <c r="H110" s="41"/>
      <c r="I110" s="41"/>
      <c r="J110" s="41"/>
      <c r="K110" s="41"/>
      <c r="L110" s="41"/>
      <c r="M110" s="41"/>
      <c r="N110" s="41"/>
      <c r="O110" s="41"/>
      <c r="P110" s="41"/>
      <c r="Q110" s="41"/>
    </row>
    <row r="111" spans="1:17">
      <c r="A111" s="39"/>
      <c r="B111" s="39"/>
      <c r="C111" s="40"/>
      <c r="D111" s="41"/>
      <c r="E111" s="41"/>
      <c r="F111" s="41"/>
      <c r="G111" s="41"/>
      <c r="H111" s="41"/>
      <c r="I111" s="41"/>
      <c r="J111" s="41"/>
      <c r="K111" s="41"/>
      <c r="L111" s="41"/>
      <c r="M111" s="41"/>
      <c r="N111" s="41"/>
      <c r="O111" s="41"/>
      <c r="P111" s="41"/>
      <c r="Q111" s="41"/>
    </row>
    <row r="112" spans="1:17">
      <c r="A112" s="39"/>
      <c r="B112" s="39"/>
      <c r="C112" s="40"/>
      <c r="D112" s="41"/>
      <c r="E112" s="41"/>
      <c r="F112" s="41"/>
      <c r="G112" s="41"/>
      <c r="H112" s="41"/>
      <c r="I112" s="41"/>
      <c r="J112" s="41"/>
      <c r="K112" s="41"/>
      <c r="L112" s="41"/>
      <c r="M112" s="41"/>
      <c r="N112" s="41"/>
      <c r="O112" s="41"/>
      <c r="P112" s="41"/>
      <c r="Q112" s="41"/>
    </row>
    <row r="113" spans="1:17">
      <c r="A113" s="39"/>
      <c r="B113" s="39"/>
      <c r="C113" s="40"/>
      <c r="D113" s="41"/>
      <c r="E113" s="41"/>
      <c r="F113" s="41"/>
      <c r="G113" s="41"/>
      <c r="H113" s="41"/>
      <c r="I113" s="41"/>
      <c r="J113" s="41"/>
      <c r="K113" s="41"/>
      <c r="L113" s="41"/>
      <c r="M113" s="41"/>
      <c r="N113" s="41"/>
      <c r="O113" s="41"/>
      <c r="P113" s="41"/>
      <c r="Q113" s="41"/>
    </row>
    <row r="114" spans="1:17">
      <c r="A114" s="39"/>
      <c r="B114" s="39"/>
      <c r="C114" s="40"/>
      <c r="D114" s="41"/>
      <c r="E114" s="41"/>
      <c r="F114" s="41"/>
      <c r="G114" s="41"/>
      <c r="H114" s="41"/>
      <c r="I114" s="41"/>
      <c r="J114" s="41"/>
      <c r="K114" s="41"/>
      <c r="L114" s="41"/>
      <c r="M114" s="41"/>
      <c r="N114" s="41"/>
      <c r="O114" s="41"/>
      <c r="P114" s="41"/>
      <c r="Q114" s="41"/>
    </row>
    <row r="115" spans="1:17">
      <c r="A115" s="39"/>
      <c r="B115" s="39"/>
      <c r="C115" s="40"/>
      <c r="D115" s="41"/>
      <c r="E115" s="41"/>
      <c r="F115" s="41"/>
      <c r="G115" s="41"/>
      <c r="H115" s="41"/>
      <c r="I115" s="41"/>
      <c r="J115" s="41"/>
      <c r="K115" s="41"/>
      <c r="L115" s="41"/>
      <c r="M115" s="41"/>
      <c r="N115" s="41"/>
      <c r="O115" s="41"/>
      <c r="P115" s="41"/>
      <c r="Q115" s="41"/>
    </row>
    <row r="116" spans="1:17">
      <c r="A116" s="39"/>
      <c r="B116" s="39"/>
      <c r="C116" s="40"/>
      <c r="D116" s="41"/>
      <c r="E116" s="41"/>
      <c r="F116" s="41"/>
      <c r="G116" s="41"/>
      <c r="H116" s="41"/>
      <c r="I116" s="41"/>
      <c r="J116" s="41"/>
      <c r="K116" s="41"/>
      <c r="L116" s="41"/>
      <c r="M116" s="41"/>
      <c r="N116" s="41"/>
      <c r="O116" s="41"/>
      <c r="P116" s="41"/>
      <c r="Q116" s="41"/>
    </row>
    <row r="117" spans="1:17">
      <c r="A117" s="39"/>
      <c r="B117" s="39"/>
      <c r="C117" s="40"/>
      <c r="D117" s="41"/>
      <c r="E117" s="41"/>
      <c r="F117" s="41"/>
      <c r="G117" s="41"/>
      <c r="H117" s="41"/>
      <c r="I117" s="41"/>
      <c r="J117" s="41"/>
      <c r="K117" s="41"/>
      <c r="L117" s="41"/>
      <c r="M117" s="41"/>
      <c r="N117" s="41"/>
      <c r="O117" s="41"/>
      <c r="P117" s="41"/>
      <c r="Q117" s="41"/>
    </row>
    <row r="118" spans="1:17">
      <c r="A118" s="39"/>
      <c r="B118" s="39"/>
      <c r="C118" s="40"/>
      <c r="D118" s="41"/>
      <c r="E118" s="41"/>
      <c r="F118" s="41"/>
      <c r="G118" s="41"/>
      <c r="H118" s="41"/>
      <c r="I118" s="41"/>
      <c r="J118" s="41"/>
      <c r="K118" s="41"/>
      <c r="L118" s="41"/>
      <c r="M118" s="41"/>
      <c r="N118" s="41"/>
      <c r="O118" s="41"/>
      <c r="P118" s="41"/>
      <c r="Q118" s="41"/>
    </row>
    <row r="119" spans="1:17">
      <c r="A119" s="39"/>
      <c r="B119" s="39"/>
      <c r="C119" s="40"/>
      <c r="D119" s="41"/>
      <c r="E119" s="41"/>
      <c r="F119" s="41"/>
      <c r="G119" s="41"/>
      <c r="H119" s="41"/>
      <c r="I119" s="41"/>
      <c r="J119" s="41"/>
      <c r="K119" s="41"/>
      <c r="L119" s="41"/>
      <c r="M119" s="41"/>
      <c r="N119" s="41"/>
      <c r="O119" s="41"/>
      <c r="P119" s="41"/>
      <c r="Q119" s="41"/>
    </row>
    <row r="120" spans="1:17">
      <c r="A120" s="39"/>
      <c r="B120" s="39"/>
      <c r="C120" s="40"/>
      <c r="D120" s="41"/>
      <c r="E120" s="41"/>
      <c r="F120" s="41"/>
      <c r="G120" s="41"/>
      <c r="H120" s="41"/>
      <c r="I120" s="41"/>
      <c r="J120" s="41"/>
      <c r="K120" s="41"/>
      <c r="L120" s="41"/>
      <c r="M120" s="41"/>
      <c r="N120" s="41"/>
      <c r="O120" s="41"/>
      <c r="P120" s="41"/>
      <c r="Q120" s="41"/>
    </row>
    <row r="121" spans="1:17">
      <c r="A121" s="39"/>
      <c r="B121" s="39"/>
      <c r="C121" s="40"/>
      <c r="D121" s="41"/>
      <c r="E121" s="41"/>
      <c r="F121" s="41"/>
      <c r="G121" s="41"/>
      <c r="H121" s="41"/>
      <c r="I121" s="41"/>
      <c r="J121" s="41"/>
      <c r="K121" s="41"/>
      <c r="L121" s="41"/>
      <c r="M121" s="41"/>
      <c r="N121" s="41"/>
      <c r="O121" s="41"/>
      <c r="P121" s="41"/>
      <c r="Q121" s="41"/>
    </row>
    <row r="122" spans="1:17">
      <c r="A122" s="39"/>
      <c r="B122" s="39"/>
      <c r="C122" s="40"/>
      <c r="D122" s="41"/>
      <c r="E122" s="41"/>
      <c r="F122" s="41"/>
      <c r="G122" s="41"/>
      <c r="H122" s="41"/>
      <c r="I122" s="41"/>
      <c r="J122" s="41"/>
      <c r="K122" s="41"/>
      <c r="L122" s="41"/>
      <c r="M122" s="41"/>
      <c r="N122" s="41"/>
      <c r="O122" s="41"/>
      <c r="P122" s="41"/>
      <c r="Q122" s="41"/>
    </row>
    <row r="123" spans="1:17">
      <c r="A123" s="39"/>
      <c r="B123" s="39"/>
      <c r="C123" s="40"/>
      <c r="D123" s="41"/>
      <c r="E123" s="41"/>
      <c r="F123" s="41"/>
      <c r="G123" s="41"/>
      <c r="H123" s="41"/>
      <c r="I123" s="41"/>
      <c r="J123" s="41"/>
      <c r="K123" s="41"/>
      <c r="L123" s="41"/>
      <c r="M123" s="41"/>
      <c r="N123" s="41"/>
      <c r="O123" s="41"/>
      <c r="P123" s="41"/>
      <c r="Q123" s="41"/>
    </row>
    <row r="124" spans="1:17">
      <c r="A124" s="39"/>
      <c r="B124" s="39"/>
      <c r="C124" s="40"/>
      <c r="D124" s="41"/>
      <c r="E124" s="41"/>
      <c r="F124" s="41"/>
      <c r="G124" s="41"/>
      <c r="H124" s="41"/>
      <c r="I124" s="41"/>
      <c r="J124" s="41"/>
      <c r="K124" s="41"/>
      <c r="L124" s="41"/>
      <c r="M124" s="41"/>
      <c r="N124" s="41"/>
      <c r="O124" s="41"/>
      <c r="P124" s="41"/>
      <c r="Q124" s="41"/>
    </row>
    <row r="125" spans="1:17">
      <c r="A125" s="39"/>
      <c r="B125" s="39"/>
      <c r="C125" s="40"/>
      <c r="D125" s="41"/>
      <c r="E125" s="41"/>
      <c r="F125" s="41"/>
      <c r="G125" s="41"/>
      <c r="H125" s="41"/>
      <c r="I125" s="41"/>
      <c r="J125" s="41"/>
      <c r="K125" s="41"/>
      <c r="L125" s="41"/>
      <c r="M125" s="41"/>
      <c r="N125" s="41"/>
      <c r="O125" s="41"/>
      <c r="P125" s="41"/>
      <c r="Q125" s="41"/>
    </row>
    <row r="126" spans="1:17">
      <c r="A126" s="39"/>
      <c r="B126" s="39"/>
      <c r="C126" s="40"/>
      <c r="D126" s="41"/>
      <c r="E126" s="41"/>
      <c r="F126" s="41"/>
      <c r="G126" s="41"/>
      <c r="H126" s="41"/>
      <c r="I126" s="41"/>
      <c r="J126" s="41"/>
      <c r="K126" s="41"/>
      <c r="L126" s="41"/>
      <c r="M126" s="41"/>
      <c r="N126" s="41"/>
      <c r="O126" s="41"/>
      <c r="P126" s="41"/>
      <c r="Q126" s="41"/>
    </row>
    <row r="127" spans="1:17">
      <c r="A127" s="39"/>
      <c r="B127" s="39"/>
      <c r="C127" s="40"/>
      <c r="D127" s="41"/>
      <c r="E127" s="41"/>
      <c r="F127" s="41"/>
      <c r="G127" s="41"/>
      <c r="H127" s="41"/>
      <c r="I127" s="41"/>
      <c r="J127" s="41"/>
      <c r="K127" s="41"/>
      <c r="L127" s="41"/>
      <c r="M127" s="41"/>
      <c r="N127" s="41"/>
      <c r="O127" s="41"/>
      <c r="P127" s="41"/>
      <c r="Q127" s="41"/>
    </row>
    <row r="128" spans="1:17">
      <c r="A128" s="39"/>
      <c r="B128" s="39"/>
      <c r="C128" s="40"/>
      <c r="D128" s="41"/>
      <c r="E128" s="41"/>
      <c r="F128" s="41"/>
      <c r="G128" s="41"/>
      <c r="H128" s="41"/>
      <c r="I128" s="41"/>
      <c r="J128" s="41"/>
      <c r="K128" s="41"/>
      <c r="L128" s="41"/>
      <c r="M128" s="41"/>
      <c r="N128" s="41"/>
      <c r="O128" s="41"/>
      <c r="P128" s="41"/>
      <c r="Q128" s="41"/>
    </row>
    <row r="129" spans="1:17">
      <c r="A129" s="39"/>
      <c r="B129" s="39"/>
      <c r="C129" s="40"/>
      <c r="D129" s="41"/>
      <c r="E129" s="41"/>
      <c r="F129" s="41"/>
      <c r="G129" s="41"/>
      <c r="H129" s="41"/>
      <c r="I129" s="41"/>
      <c r="J129" s="41"/>
      <c r="K129" s="41"/>
      <c r="L129" s="41"/>
      <c r="M129" s="41"/>
      <c r="N129" s="41"/>
      <c r="O129" s="41"/>
      <c r="P129" s="41"/>
      <c r="Q129" s="41"/>
    </row>
    <row r="130" spans="1:17">
      <c r="A130" s="39"/>
      <c r="B130" s="39"/>
      <c r="C130" s="40"/>
      <c r="D130" s="41"/>
      <c r="E130" s="41"/>
      <c r="F130" s="41"/>
      <c r="G130" s="41"/>
      <c r="H130" s="41"/>
      <c r="I130" s="41"/>
      <c r="J130" s="41"/>
      <c r="K130" s="41"/>
      <c r="L130" s="41"/>
      <c r="M130" s="41"/>
      <c r="N130" s="41"/>
      <c r="O130" s="41"/>
      <c r="P130" s="41"/>
      <c r="Q130" s="41"/>
    </row>
    <row r="131" spans="1:17">
      <c r="A131" s="39"/>
      <c r="B131" s="39"/>
      <c r="C131" s="40"/>
      <c r="D131" s="41"/>
      <c r="E131" s="41"/>
      <c r="F131" s="41"/>
      <c r="G131" s="41"/>
      <c r="H131" s="41"/>
      <c r="I131" s="41"/>
      <c r="J131" s="41"/>
      <c r="K131" s="41"/>
      <c r="L131" s="41"/>
      <c r="M131" s="41"/>
      <c r="N131" s="41"/>
      <c r="O131" s="41"/>
      <c r="P131" s="41"/>
      <c r="Q131" s="41"/>
    </row>
    <row r="132" spans="1:17">
      <c r="A132" s="39"/>
      <c r="B132" s="39"/>
      <c r="C132" s="40"/>
      <c r="D132" s="41"/>
      <c r="E132" s="41"/>
      <c r="F132" s="41"/>
      <c r="G132" s="41"/>
      <c r="H132" s="41"/>
      <c r="I132" s="41"/>
      <c r="J132" s="41"/>
      <c r="K132" s="41"/>
      <c r="L132" s="41"/>
      <c r="M132" s="41"/>
      <c r="N132" s="41"/>
      <c r="O132" s="41"/>
      <c r="P132" s="41"/>
      <c r="Q132" s="41"/>
    </row>
    <row r="133" spans="1:17">
      <c r="A133" s="39"/>
      <c r="B133" s="39"/>
      <c r="C133" s="40"/>
      <c r="D133" s="41"/>
      <c r="E133" s="41"/>
      <c r="F133" s="41"/>
      <c r="G133" s="41"/>
      <c r="H133" s="41"/>
      <c r="I133" s="41"/>
      <c r="J133" s="41"/>
      <c r="K133" s="41"/>
      <c r="L133" s="41"/>
      <c r="M133" s="41"/>
      <c r="N133" s="41"/>
      <c r="O133" s="41"/>
      <c r="P133" s="41"/>
      <c r="Q133" s="41"/>
    </row>
    <row r="134" spans="1:17">
      <c r="A134" s="39"/>
      <c r="B134" s="39"/>
      <c r="C134" s="40"/>
      <c r="D134" s="41"/>
      <c r="E134" s="41"/>
      <c r="F134" s="41"/>
      <c r="G134" s="41"/>
      <c r="H134" s="41"/>
      <c r="I134" s="41"/>
      <c r="J134" s="41"/>
      <c r="K134" s="41"/>
      <c r="L134" s="41"/>
      <c r="M134" s="41"/>
      <c r="N134" s="41"/>
      <c r="O134" s="41"/>
      <c r="P134" s="41"/>
      <c r="Q134" s="41"/>
    </row>
    <row r="135" spans="1:17">
      <c r="A135" s="39"/>
      <c r="B135" s="39"/>
      <c r="C135" s="40"/>
      <c r="D135" s="41"/>
      <c r="E135" s="41"/>
      <c r="F135" s="41"/>
      <c r="G135" s="41"/>
      <c r="H135" s="41"/>
      <c r="I135" s="41"/>
      <c r="J135" s="41"/>
      <c r="K135" s="41"/>
      <c r="L135" s="41"/>
      <c r="M135" s="41"/>
      <c r="N135" s="41"/>
      <c r="O135" s="41"/>
      <c r="P135" s="41"/>
      <c r="Q135" s="41"/>
    </row>
    <row r="136" spans="1:17">
      <c r="A136" s="39"/>
      <c r="B136" s="39"/>
      <c r="C136" s="40"/>
      <c r="D136" s="41"/>
      <c r="E136" s="41"/>
      <c r="F136" s="41"/>
      <c r="G136" s="41"/>
      <c r="H136" s="41"/>
      <c r="I136" s="41"/>
      <c r="J136" s="41"/>
      <c r="K136" s="41"/>
      <c r="L136" s="41"/>
      <c r="M136" s="41"/>
      <c r="N136" s="41"/>
      <c r="O136" s="41"/>
      <c r="P136" s="41"/>
      <c r="Q136" s="41"/>
    </row>
    <row r="137" spans="1:17">
      <c r="A137" s="39"/>
      <c r="B137" s="39"/>
      <c r="C137" s="40"/>
      <c r="D137" s="41"/>
      <c r="E137" s="41"/>
      <c r="F137" s="41"/>
      <c r="G137" s="41"/>
      <c r="H137" s="41"/>
      <c r="I137" s="41"/>
      <c r="J137" s="41"/>
      <c r="K137" s="41"/>
      <c r="L137" s="41"/>
      <c r="M137" s="41"/>
      <c r="N137" s="41"/>
      <c r="O137" s="41"/>
      <c r="P137" s="41"/>
      <c r="Q137" s="41"/>
    </row>
    <row r="138" spans="1:17">
      <c r="A138" s="39"/>
      <c r="B138" s="39"/>
      <c r="C138" s="40"/>
      <c r="D138" s="41"/>
      <c r="E138" s="41"/>
      <c r="F138" s="41"/>
      <c r="G138" s="41"/>
      <c r="H138" s="41"/>
      <c r="I138" s="41"/>
      <c r="J138" s="41"/>
      <c r="K138" s="41"/>
      <c r="L138" s="41"/>
      <c r="M138" s="41"/>
      <c r="N138" s="41"/>
      <c r="O138" s="41"/>
      <c r="P138" s="41"/>
      <c r="Q138" s="41"/>
    </row>
    <row r="139" spans="1:17">
      <c r="A139" s="39"/>
      <c r="B139" s="39"/>
      <c r="C139" s="40"/>
      <c r="D139" s="41"/>
      <c r="E139" s="41"/>
      <c r="F139" s="41"/>
      <c r="G139" s="41"/>
      <c r="H139" s="41"/>
      <c r="I139" s="41"/>
      <c r="J139" s="41"/>
      <c r="K139" s="41"/>
      <c r="L139" s="41"/>
      <c r="M139" s="41"/>
      <c r="N139" s="41"/>
      <c r="O139" s="41"/>
      <c r="P139" s="41"/>
      <c r="Q139" s="41"/>
    </row>
    <row r="140" spans="1:17">
      <c r="A140" s="39"/>
      <c r="B140" s="39"/>
      <c r="C140" s="40"/>
      <c r="D140" s="41"/>
      <c r="E140" s="41"/>
      <c r="F140" s="41"/>
      <c r="G140" s="41"/>
      <c r="H140" s="41"/>
      <c r="I140" s="41"/>
      <c r="J140" s="41"/>
      <c r="K140" s="41"/>
      <c r="L140" s="41"/>
      <c r="M140" s="41"/>
      <c r="N140" s="41"/>
      <c r="O140" s="41"/>
      <c r="P140" s="41"/>
      <c r="Q140" s="41"/>
    </row>
    <row r="141" spans="1:17">
      <c r="A141" s="39"/>
      <c r="B141" s="39"/>
      <c r="C141" s="40"/>
      <c r="D141" s="41"/>
      <c r="E141" s="41"/>
      <c r="F141" s="41"/>
      <c r="G141" s="41"/>
      <c r="H141" s="41"/>
      <c r="I141" s="41"/>
      <c r="J141" s="41"/>
      <c r="K141" s="41"/>
      <c r="L141" s="41"/>
      <c r="M141" s="41"/>
      <c r="N141" s="41"/>
      <c r="O141" s="41"/>
      <c r="P141" s="41"/>
      <c r="Q141" s="41"/>
    </row>
    <row r="142" spans="1:17">
      <c r="A142" s="39"/>
      <c r="B142" s="39"/>
      <c r="C142" s="40"/>
      <c r="D142" s="41"/>
      <c r="E142" s="41"/>
      <c r="F142" s="41"/>
      <c r="G142" s="41"/>
      <c r="H142" s="41"/>
      <c r="I142" s="41"/>
      <c r="J142" s="41"/>
      <c r="K142" s="41"/>
      <c r="L142" s="41"/>
      <c r="M142" s="41"/>
      <c r="N142" s="41"/>
      <c r="O142" s="41"/>
      <c r="P142" s="41"/>
      <c r="Q142" s="41"/>
    </row>
    <row r="143" spans="1:17">
      <c r="A143" s="39"/>
      <c r="B143" s="39"/>
      <c r="C143" s="40"/>
      <c r="D143" s="41"/>
      <c r="E143" s="41"/>
      <c r="F143" s="41"/>
      <c r="G143" s="41"/>
      <c r="H143" s="41"/>
      <c r="I143" s="41"/>
      <c r="J143" s="41"/>
      <c r="K143" s="41"/>
      <c r="L143" s="41"/>
      <c r="M143" s="41"/>
      <c r="N143" s="41"/>
      <c r="O143" s="41"/>
      <c r="P143" s="41"/>
      <c r="Q143" s="41"/>
    </row>
    <row r="144" spans="1:17">
      <c r="A144" s="39"/>
      <c r="B144" s="39"/>
      <c r="C144" s="40"/>
      <c r="D144" s="41"/>
      <c r="E144" s="41"/>
      <c r="F144" s="41"/>
      <c r="G144" s="41"/>
      <c r="H144" s="41"/>
      <c r="I144" s="41"/>
      <c r="J144" s="41"/>
      <c r="K144" s="41"/>
      <c r="L144" s="41"/>
      <c r="M144" s="41"/>
      <c r="N144" s="41"/>
      <c r="O144" s="41"/>
      <c r="P144" s="41"/>
      <c r="Q144" s="41"/>
    </row>
    <row r="145" spans="1:17">
      <c r="A145" s="39"/>
      <c r="B145" s="39"/>
      <c r="C145" s="40"/>
      <c r="D145" s="41"/>
      <c r="E145" s="41"/>
      <c r="F145" s="41"/>
      <c r="G145" s="41"/>
      <c r="H145" s="41"/>
      <c r="I145" s="41"/>
      <c r="J145" s="41"/>
      <c r="K145" s="41"/>
      <c r="L145" s="41"/>
      <c r="M145" s="41"/>
      <c r="N145" s="41"/>
      <c r="O145" s="41"/>
      <c r="P145" s="41"/>
      <c r="Q145" s="41"/>
    </row>
    <row r="146" spans="1:17">
      <c r="A146" s="39"/>
      <c r="B146" s="39"/>
      <c r="C146" s="40"/>
      <c r="D146" s="41"/>
      <c r="E146" s="41"/>
      <c r="F146" s="41"/>
      <c r="G146" s="41"/>
      <c r="H146" s="41"/>
      <c r="I146" s="41"/>
      <c r="J146" s="41"/>
      <c r="K146" s="41"/>
      <c r="L146" s="41"/>
      <c r="M146" s="41"/>
      <c r="N146" s="41"/>
      <c r="O146" s="41"/>
      <c r="P146" s="41"/>
      <c r="Q146" s="41"/>
    </row>
    <row r="147" spans="1:17">
      <c r="A147" s="39"/>
      <c r="B147" s="39"/>
      <c r="C147" s="40"/>
      <c r="D147" s="41"/>
      <c r="E147" s="41"/>
      <c r="F147" s="41"/>
      <c r="G147" s="41"/>
      <c r="H147" s="41"/>
      <c r="I147" s="41"/>
      <c r="J147" s="41"/>
      <c r="K147" s="41"/>
      <c r="L147" s="41"/>
      <c r="M147" s="41"/>
      <c r="N147" s="41"/>
      <c r="O147" s="41"/>
      <c r="P147" s="41"/>
      <c r="Q147" s="41"/>
    </row>
    <row r="148" spans="1:17">
      <c r="A148" s="39"/>
      <c r="B148" s="39"/>
      <c r="C148" s="40"/>
      <c r="D148" s="41"/>
      <c r="E148" s="41"/>
      <c r="F148" s="41"/>
      <c r="G148" s="41"/>
      <c r="H148" s="41"/>
      <c r="I148" s="41"/>
      <c r="J148" s="41"/>
      <c r="K148" s="41"/>
      <c r="L148" s="41"/>
      <c r="M148" s="41"/>
      <c r="N148" s="41"/>
      <c r="O148" s="41"/>
      <c r="P148" s="41"/>
      <c r="Q148" s="41"/>
    </row>
    <row r="149" spans="1:17">
      <c r="A149" s="39"/>
      <c r="B149" s="39"/>
      <c r="C149" s="40"/>
      <c r="D149" s="41"/>
      <c r="E149" s="41"/>
      <c r="F149" s="41"/>
      <c r="G149" s="41"/>
      <c r="H149" s="41"/>
      <c r="I149" s="41"/>
      <c r="J149" s="41"/>
      <c r="K149" s="41"/>
      <c r="L149" s="41"/>
      <c r="M149" s="41"/>
      <c r="N149" s="41"/>
      <c r="O149" s="41"/>
      <c r="P149" s="41"/>
      <c r="Q149" s="41"/>
    </row>
    <row r="150" spans="1:17">
      <c r="A150" s="39"/>
      <c r="B150" s="39"/>
      <c r="C150" s="40"/>
      <c r="D150" s="41"/>
      <c r="E150" s="41"/>
      <c r="F150" s="41"/>
      <c r="G150" s="41"/>
      <c r="H150" s="41"/>
      <c r="I150" s="41"/>
      <c r="J150" s="41"/>
      <c r="K150" s="41"/>
      <c r="L150" s="41"/>
      <c r="M150" s="41"/>
      <c r="N150" s="41"/>
      <c r="O150" s="41"/>
      <c r="P150" s="41"/>
      <c r="Q150" s="41"/>
    </row>
    <row r="151" spans="1:17">
      <c r="A151" s="39"/>
      <c r="B151" s="39"/>
      <c r="C151" s="40"/>
      <c r="D151" s="41"/>
      <c r="E151" s="41"/>
      <c r="F151" s="41"/>
      <c r="G151" s="41"/>
      <c r="H151" s="41"/>
      <c r="I151" s="41"/>
      <c r="J151" s="41"/>
      <c r="K151" s="41"/>
      <c r="L151" s="41"/>
      <c r="M151" s="41"/>
      <c r="N151" s="41"/>
      <c r="O151" s="41"/>
      <c r="P151" s="41"/>
      <c r="Q151" s="41"/>
    </row>
    <row r="152" spans="1:17">
      <c r="A152" s="39"/>
      <c r="B152" s="39"/>
      <c r="C152" s="40"/>
      <c r="D152" s="41"/>
      <c r="E152" s="41"/>
      <c r="F152" s="41"/>
      <c r="G152" s="41"/>
      <c r="H152" s="41"/>
      <c r="I152" s="41"/>
      <c r="J152" s="41"/>
      <c r="K152" s="41"/>
      <c r="L152" s="41"/>
      <c r="M152" s="41"/>
      <c r="N152" s="41"/>
      <c r="O152" s="41"/>
      <c r="P152" s="41"/>
      <c r="Q152" s="41"/>
    </row>
    <row r="153" spans="1:17">
      <c r="A153" s="39"/>
      <c r="B153" s="39"/>
      <c r="C153" s="40"/>
      <c r="D153" s="41"/>
      <c r="E153" s="41"/>
      <c r="F153" s="41"/>
      <c r="G153" s="41"/>
      <c r="H153" s="41"/>
      <c r="I153" s="41"/>
      <c r="J153" s="41"/>
      <c r="K153" s="41"/>
      <c r="L153" s="41"/>
      <c r="M153" s="41"/>
      <c r="N153" s="41"/>
      <c r="O153" s="41"/>
      <c r="P153" s="41"/>
      <c r="Q153" s="41"/>
    </row>
    <row r="154" spans="1:17">
      <c r="A154" s="39"/>
      <c r="B154" s="39"/>
      <c r="C154" s="40"/>
      <c r="D154" s="41"/>
      <c r="E154" s="41"/>
      <c r="F154" s="41"/>
      <c r="G154" s="41"/>
      <c r="H154" s="41"/>
      <c r="I154" s="41"/>
      <c r="J154" s="41"/>
      <c r="K154" s="41"/>
      <c r="L154" s="41"/>
      <c r="M154" s="41"/>
      <c r="N154" s="41"/>
      <c r="O154" s="41"/>
      <c r="P154" s="41"/>
      <c r="Q154" s="41"/>
    </row>
    <row r="155" spans="1:17">
      <c r="A155" s="39"/>
      <c r="B155" s="39"/>
      <c r="C155" s="40"/>
      <c r="D155" s="41"/>
      <c r="E155" s="41"/>
      <c r="F155" s="41"/>
      <c r="G155" s="41"/>
      <c r="H155" s="41"/>
      <c r="I155" s="41"/>
      <c r="J155" s="41"/>
      <c r="K155" s="41"/>
      <c r="L155" s="41"/>
      <c r="M155" s="41"/>
      <c r="N155" s="41"/>
      <c r="O155" s="41"/>
      <c r="P155" s="41"/>
      <c r="Q155" s="41"/>
    </row>
    <row r="156" spans="1:17">
      <c r="A156" s="39"/>
      <c r="B156" s="39"/>
      <c r="C156" s="40"/>
      <c r="D156" s="41"/>
      <c r="E156" s="41"/>
      <c r="F156" s="41"/>
      <c r="G156" s="41"/>
      <c r="H156" s="41"/>
      <c r="I156" s="41"/>
      <c r="J156" s="41"/>
      <c r="K156" s="41"/>
      <c r="L156" s="41"/>
      <c r="M156" s="41"/>
      <c r="N156" s="41"/>
      <c r="O156" s="41"/>
      <c r="P156" s="41"/>
      <c r="Q156" s="41"/>
    </row>
    <row r="157" spans="1:17">
      <c r="A157" s="39"/>
      <c r="B157" s="39"/>
      <c r="C157" s="40"/>
      <c r="D157" s="41"/>
      <c r="E157" s="41"/>
      <c r="F157" s="41"/>
      <c r="G157" s="41"/>
      <c r="H157" s="41"/>
      <c r="I157" s="41"/>
      <c r="J157" s="41"/>
      <c r="K157" s="41"/>
      <c r="L157" s="41"/>
      <c r="M157" s="41"/>
      <c r="N157" s="41"/>
      <c r="O157" s="41"/>
      <c r="P157" s="41"/>
      <c r="Q157" s="41"/>
    </row>
    <row r="158" spans="1:17">
      <c r="A158" s="39"/>
      <c r="B158" s="39"/>
      <c r="C158" s="40"/>
      <c r="D158" s="41"/>
      <c r="E158" s="41"/>
      <c r="F158" s="41"/>
      <c r="G158" s="41"/>
      <c r="H158" s="41"/>
      <c r="I158" s="41"/>
      <c r="J158" s="41"/>
      <c r="K158" s="41"/>
      <c r="L158" s="41"/>
      <c r="M158" s="41"/>
      <c r="N158" s="41"/>
      <c r="O158" s="41"/>
      <c r="P158" s="41"/>
      <c r="Q158" s="41"/>
    </row>
    <row r="159" spans="1:17">
      <c r="A159" s="39"/>
      <c r="B159" s="39"/>
      <c r="C159" s="40"/>
      <c r="D159" s="41"/>
      <c r="E159" s="41"/>
      <c r="F159" s="41"/>
      <c r="G159" s="41"/>
      <c r="H159" s="41"/>
      <c r="I159" s="41"/>
      <c r="J159" s="41"/>
      <c r="K159" s="41"/>
      <c r="L159" s="41"/>
      <c r="M159" s="41"/>
      <c r="N159" s="41"/>
      <c r="O159" s="41"/>
      <c r="P159" s="41"/>
      <c r="Q159" s="41"/>
    </row>
    <row r="160" spans="1:17">
      <c r="A160" s="39"/>
      <c r="B160" s="39"/>
      <c r="C160" s="40"/>
      <c r="D160" s="41"/>
      <c r="E160" s="41"/>
      <c r="F160" s="41"/>
      <c r="G160" s="41"/>
      <c r="H160" s="41"/>
      <c r="I160" s="41"/>
      <c r="J160" s="41"/>
      <c r="K160" s="41"/>
      <c r="L160" s="41"/>
      <c r="M160" s="41"/>
      <c r="N160" s="41"/>
      <c r="O160" s="41"/>
      <c r="P160" s="41"/>
      <c r="Q160" s="41"/>
    </row>
    <row r="161" spans="1:17">
      <c r="A161" s="39"/>
      <c r="B161" s="39"/>
      <c r="C161" s="40"/>
      <c r="D161" s="41"/>
      <c r="E161" s="41"/>
      <c r="F161" s="41"/>
      <c r="G161" s="41"/>
      <c r="H161" s="41"/>
      <c r="I161" s="41"/>
      <c r="J161" s="41"/>
      <c r="K161" s="41"/>
      <c r="L161" s="41"/>
      <c r="M161" s="41"/>
      <c r="N161" s="41"/>
      <c r="O161" s="41"/>
      <c r="P161" s="41"/>
      <c r="Q161" s="41"/>
    </row>
    <row r="162" spans="1:17">
      <c r="A162" s="39"/>
      <c r="B162" s="39"/>
      <c r="C162" s="40"/>
      <c r="D162" s="41"/>
      <c r="E162" s="41"/>
      <c r="F162" s="41"/>
      <c r="G162" s="41"/>
      <c r="H162" s="41"/>
      <c r="I162" s="41"/>
      <c r="J162" s="41"/>
      <c r="K162" s="41"/>
      <c r="L162" s="41"/>
      <c r="M162" s="41"/>
      <c r="N162" s="41"/>
      <c r="O162" s="41"/>
      <c r="P162" s="41"/>
      <c r="Q162" s="41"/>
    </row>
    <row r="163" spans="1:17">
      <c r="A163" s="39"/>
      <c r="B163" s="39"/>
      <c r="C163" s="40"/>
      <c r="D163" s="41"/>
      <c r="E163" s="41"/>
      <c r="F163" s="41"/>
      <c r="G163" s="41"/>
      <c r="H163" s="41"/>
      <c r="I163" s="41"/>
      <c r="J163" s="41"/>
      <c r="K163" s="41"/>
      <c r="L163" s="41"/>
      <c r="M163" s="41"/>
      <c r="N163" s="41"/>
      <c r="O163" s="41"/>
      <c r="P163" s="41"/>
      <c r="Q163" s="41"/>
    </row>
    <row r="164" spans="1:17">
      <c r="A164" s="39"/>
      <c r="B164" s="39"/>
      <c r="C164" s="40"/>
      <c r="D164" s="41"/>
      <c r="E164" s="41"/>
      <c r="F164" s="41"/>
      <c r="G164" s="41"/>
      <c r="H164" s="41"/>
      <c r="I164" s="41"/>
      <c r="J164" s="41"/>
      <c r="K164" s="41"/>
      <c r="L164" s="41"/>
      <c r="M164" s="41"/>
      <c r="N164" s="41"/>
      <c r="O164" s="41"/>
      <c r="P164" s="41"/>
      <c r="Q164" s="41"/>
    </row>
    <row r="165" spans="1:17">
      <c r="A165" s="39"/>
      <c r="B165" s="39"/>
      <c r="C165" s="40"/>
      <c r="D165" s="41"/>
      <c r="E165" s="41"/>
      <c r="F165" s="41"/>
      <c r="G165" s="41"/>
      <c r="H165" s="41"/>
      <c r="I165" s="41"/>
      <c r="J165" s="41"/>
      <c r="K165" s="41"/>
      <c r="L165" s="41"/>
      <c r="M165" s="41"/>
      <c r="N165" s="41"/>
      <c r="O165" s="41"/>
      <c r="P165" s="41"/>
      <c r="Q165" s="41"/>
    </row>
    <row r="166" spans="1:17">
      <c r="A166" s="39"/>
      <c r="B166" s="39"/>
      <c r="C166" s="40"/>
      <c r="D166" s="41"/>
      <c r="E166" s="41"/>
      <c r="F166" s="41"/>
      <c r="G166" s="41"/>
      <c r="H166" s="41"/>
      <c r="I166" s="41"/>
      <c r="J166" s="41"/>
      <c r="K166" s="41"/>
      <c r="L166" s="41"/>
      <c r="M166" s="41"/>
      <c r="N166" s="41"/>
      <c r="O166" s="41"/>
      <c r="P166" s="41"/>
      <c r="Q166" s="41"/>
    </row>
    <row r="167" spans="1:17">
      <c r="A167" s="39"/>
      <c r="B167" s="39"/>
      <c r="C167" s="40"/>
      <c r="D167" s="41"/>
      <c r="E167" s="41"/>
      <c r="F167" s="41"/>
      <c r="G167" s="41"/>
      <c r="H167" s="41"/>
      <c r="I167" s="41"/>
      <c r="J167" s="41"/>
      <c r="K167" s="41"/>
      <c r="L167" s="41"/>
      <c r="M167" s="41"/>
      <c r="N167" s="41"/>
      <c r="O167" s="41"/>
      <c r="P167" s="41"/>
      <c r="Q167" s="41"/>
    </row>
    <row r="168" spans="1:17">
      <c r="A168" s="39"/>
      <c r="B168" s="39"/>
      <c r="C168" s="40"/>
      <c r="D168" s="41"/>
      <c r="E168" s="41"/>
      <c r="F168" s="41"/>
      <c r="G168" s="41"/>
      <c r="H168" s="41"/>
      <c r="I168" s="41"/>
      <c r="J168" s="41"/>
      <c r="K168" s="41"/>
      <c r="L168" s="41"/>
      <c r="M168" s="41"/>
      <c r="N168" s="41"/>
      <c r="O168" s="41"/>
      <c r="P168" s="41"/>
      <c r="Q168" s="41"/>
    </row>
    <row r="169" spans="1:17">
      <c r="A169" s="39"/>
      <c r="B169" s="39"/>
      <c r="C169" s="40"/>
      <c r="D169" s="41"/>
      <c r="E169" s="41"/>
      <c r="F169" s="41"/>
      <c r="G169" s="41"/>
      <c r="H169" s="41"/>
      <c r="I169" s="41"/>
      <c r="J169" s="41"/>
      <c r="K169" s="41"/>
      <c r="L169" s="41"/>
      <c r="M169" s="41"/>
      <c r="N169" s="41"/>
      <c r="O169" s="41"/>
      <c r="P169" s="41"/>
      <c r="Q169" s="41"/>
    </row>
    <row r="170" spans="1:17">
      <c r="A170" s="39"/>
      <c r="B170" s="39"/>
      <c r="C170" s="40"/>
      <c r="D170" s="41"/>
      <c r="E170" s="41"/>
      <c r="F170" s="41"/>
      <c r="G170" s="41"/>
      <c r="H170" s="41"/>
      <c r="I170" s="41"/>
      <c r="J170" s="41"/>
      <c r="K170" s="41"/>
      <c r="L170" s="41"/>
      <c r="M170" s="41"/>
      <c r="N170" s="41"/>
      <c r="O170" s="41"/>
      <c r="P170" s="41"/>
      <c r="Q170" s="41"/>
    </row>
    <row r="171" spans="1:17">
      <c r="A171" s="39"/>
      <c r="B171" s="39"/>
      <c r="C171" s="40"/>
      <c r="D171" s="41"/>
      <c r="E171" s="41"/>
      <c r="F171" s="41"/>
      <c r="G171" s="41"/>
      <c r="H171" s="41"/>
      <c r="I171" s="41"/>
      <c r="J171" s="41"/>
      <c r="K171" s="41"/>
      <c r="L171" s="41"/>
      <c r="M171" s="41"/>
      <c r="N171" s="41"/>
      <c r="O171" s="41"/>
      <c r="P171" s="41"/>
      <c r="Q171" s="41"/>
    </row>
    <row r="172" spans="1:17">
      <c r="A172" s="39"/>
      <c r="B172" s="39"/>
      <c r="C172" s="40"/>
      <c r="D172" s="41"/>
      <c r="E172" s="41"/>
      <c r="F172" s="41"/>
      <c r="G172" s="41"/>
      <c r="H172" s="41"/>
      <c r="I172" s="41"/>
      <c r="J172" s="41"/>
      <c r="K172" s="41"/>
      <c r="L172" s="41"/>
      <c r="M172" s="41"/>
      <c r="N172" s="41"/>
      <c r="O172" s="41"/>
      <c r="P172" s="41"/>
      <c r="Q172" s="41"/>
    </row>
    <row r="173" spans="1:17">
      <c r="A173" s="39"/>
      <c r="B173" s="39"/>
      <c r="C173" s="40"/>
      <c r="D173" s="41"/>
      <c r="E173" s="41"/>
      <c r="F173" s="41"/>
      <c r="G173" s="41"/>
      <c r="H173" s="41"/>
      <c r="I173" s="41"/>
      <c r="J173" s="41"/>
      <c r="K173" s="41"/>
      <c r="L173" s="41"/>
      <c r="M173" s="41"/>
      <c r="N173" s="41"/>
      <c r="O173" s="41"/>
      <c r="P173" s="41"/>
      <c r="Q173" s="41"/>
    </row>
    <row r="174" spans="1:17">
      <c r="A174" s="39"/>
      <c r="B174" s="39"/>
      <c r="C174" s="40"/>
      <c r="D174" s="41"/>
      <c r="E174" s="41"/>
      <c r="F174" s="41"/>
      <c r="G174" s="41"/>
      <c r="H174" s="41"/>
      <c r="I174" s="41"/>
      <c r="J174" s="41"/>
      <c r="K174" s="41"/>
      <c r="L174" s="41"/>
      <c r="M174" s="41"/>
      <c r="N174" s="41"/>
      <c r="O174" s="41"/>
      <c r="P174" s="41"/>
      <c r="Q174" s="41"/>
    </row>
    <row r="175" spans="1:17">
      <c r="A175" s="39"/>
      <c r="B175" s="39"/>
      <c r="C175" s="40"/>
      <c r="D175" s="41"/>
      <c r="E175" s="41"/>
      <c r="F175" s="41"/>
      <c r="G175" s="41"/>
      <c r="H175" s="41"/>
      <c r="I175" s="41"/>
      <c r="J175" s="41"/>
      <c r="K175" s="41"/>
      <c r="L175" s="41"/>
      <c r="M175" s="41"/>
      <c r="N175" s="41"/>
      <c r="O175" s="41"/>
      <c r="P175" s="41"/>
      <c r="Q175" s="41"/>
    </row>
    <row r="176" spans="1:17">
      <c r="A176" s="39"/>
      <c r="B176" s="39"/>
      <c r="C176" s="40"/>
      <c r="D176" s="41"/>
      <c r="E176" s="41"/>
      <c r="F176" s="41"/>
      <c r="G176" s="41"/>
      <c r="H176" s="41"/>
      <c r="I176" s="41"/>
      <c r="J176" s="41"/>
      <c r="K176" s="41"/>
      <c r="L176" s="41"/>
      <c r="M176" s="41"/>
      <c r="N176" s="41"/>
      <c r="O176" s="41"/>
      <c r="P176" s="41"/>
      <c r="Q176" s="41"/>
    </row>
    <row r="177" spans="1:17">
      <c r="A177" s="39"/>
      <c r="B177" s="39"/>
      <c r="C177" s="40"/>
      <c r="D177" s="41"/>
      <c r="E177" s="41"/>
      <c r="F177" s="41"/>
      <c r="G177" s="41"/>
      <c r="H177" s="41"/>
      <c r="I177" s="41"/>
      <c r="J177" s="41"/>
      <c r="K177" s="41"/>
      <c r="L177" s="41"/>
      <c r="M177" s="41"/>
      <c r="N177" s="41"/>
      <c r="O177" s="41"/>
      <c r="P177" s="41"/>
      <c r="Q177" s="41"/>
    </row>
    <row r="178" spans="1:17">
      <c r="A178" s="39"/>
      <c r="B178" s="39"/>
      <c r="C178" s="40"/>
      <c r="D178" s="41"/>
      <c r="E178" s="41"/>
      <c r="F178" s="41"/>
      <c r="G178" s="41"/>
      <c r="H178" s="41"/>
      <c r="I178" s="41"/>
      <c r="J178" s="41"/>
      <c r="K178" s="41"/>
      <c r="L178" s="41"/>
      <c r="M178" s="41"/>
      <c r="N178" s="41"/>
      <c r="O178" s="41"/>
      <c r="P178" s="41"/>
      <c r="Q178" s="41"/>
    </row>
    <row r="179" spans="1:17">
      <c r="A179" s="39"/>
      <c r="B179" s="39"/>
      <c r="C179" s="40"/>
      <c r="D179" s="41"/>
      <c r="E179" s="41"/>
      <c r="F179" s="41"/>
      <c r="G179" s="41"/>
      <c r="H179" s="41"/>
      <c r="I179" s="41"/>
      <c r="J179" s="41"/>
      <c r="K179" s="41"/>
      <c r="L179" s="41"/>
      <c r="M179" s="41"/>
      <c r="N179" s="41"/>
      <c r="O179" s="41"/>
      <c r="P179" s="41"/>
      <c r="Q179" s="41"/>
    </row>
    <row r="180" spans="1:17">
      <c r="A180" s="39"/>
      <c r="B180" s="39"/>
      <c r="C180" s="40"/>
      <c r="D180" s="41"/>
      <c r="E180" s="41"/>
      <c r="F180" s="41"/>
      <c r="G180" s="41"/>
      <c r="H180" s="41"/>
      <c r="I180" s="41"/>
      <c r="J180" s="41"/>
      <c r="K180" s="41"/>
      <c r="L180" s="41"/>
      <c r="M180" s="41"/>
      <c r="N180" s="41"/>
      <c r="O180" s="41"/>
      <c r="P180" s="41"/>
      <c r="Q180" s="41"/>
    </row>
    <row r="181" spans="1:17">
      <c r="A181" s="39"/>
      <c r="B181" s="39"/>
      <c r="C181" s="40"/>
      <c r="D181" s="41"/>
      <c r="E181" s="41"/>
      <c r="F181" s="41"/>
      <c r="G181" s="41"/>
      <c r="H181" s="41"/>
      <c r="I181" s="41"/>
      <c r="J181" s="41"/>
      <c r="K181" s="41"/>
      <c r="L181" s="41"/>
      <c r="M181" s="41"/>
      <c r="N181" s="41"/>
      <c r="O181" s="41"/>
      <c r="P181" s="41"/>
      <c r="Q181" s="41"/>
    </row>
    <row r="182" spans="1:17">
      <c r="A182" s="39"/>
      <c r="B182" s="39"/>
      <c r="C182" s="40"/>
      <c r="D182" s="41"/>
      <c r="E182" s="41"/>
      <c r="F182" s="41"/>
      <c r="G182" s="41"/>
      <c r="H182" s="41"/>
      <c r="I182" s="41"/>
      <c r="J182" s="41"/>
      <c r="K182" s="41"/>
      <c r="L182" s="41"/>
      <c r="M182" s="41"/>
      <c r="N182" s="41"/>
      <c r="O182" s="41"/>
      <c r="P182" s="41"/>
      <c r="Q182" s="41"/>
    </row>
    <row r="183" spans="1:17">
      <c r="A183" s="39"/>
      <c r="B183" s="39"/>
      <c r="C183" s="40"/>
      <c r="D183" s="41"/>
      <c r="E183" s="41"/>
      <c r="F183" s="41"/>
      <c r="G183" s="41"/>
      <c r="H183" s="41"/>
      <c r="I183" s="41"/>
      <c r="J183" s="41"/>
      <c r="K183" s="41"/>
      <c r="L183" s="41"/>
      <c r="M183" s="41"/>
      <c r="N183" s="41"/>
      <c r="O183" s="41"/>
      <c r="P183" s="41"/>
      <c r="Q183" s="41"/>
    </row>
    <row r="184" spans="1:17">
      <c r="A184" s="39"/>
      <c r="B184" s="39"/>
      <c r="C184" s="40"/>
      <c r="D184" s="41"/>
      <c r="E184" s="41"/>
      <c r="F184" s="41"/>
      <c r="G184" s="41"/>
      <c r="H184" s="41"/>
      <c r="I184" s="41"/>
      <c r="J184" s="41"/>
      <c r="K184" s="41"/>
      <c r="L184" s="41"/>
      <c r="M184" s="41"/>
      <c r="N184" s="41"/>
      <c r="O184" s="41"/>
      <c r="P184" s="41"/>
      <c r="Q184" s="41"/>
    </row>
    <row r="185" spans="1:17">
      <c r="A185" s="39"/>
      <c r="B185" s="39"/>
      <c r="C185" s="40"/>
      <c r="D185" s="41"/>
      <c r="E185" s="41"/>
      <c r="F185" s="41"/>
      <c r="G185" s="41"/>
      <c r="H185" s="41"/>
      <c r="I185" s="41"/>
      <c r="J185" s="41"/>
      <c r="K185" s="41"/>
      <c r="L185" s="41"/>
      <c r="M185" s="41"/>
      <c r="N185" s="41"/>
      <c r="O185" s="41"/>
      <c r="P185" s="41"/>
      <c r="Q185" s="41"/>
    </row>
    <row r="186" spans="1:17">
      <c r="A186" s="39"/>
      <c r="B186" s="39"/>
      <c r="C186" s="40"/>
      <c r="D186" s="41"/>
      <c r="E186" s="41"/>
      <c r="F186" s="41"/>
      <c r="G186" s="41"/>
      <c r="H186" s="41"/>
      <c r="I186" s="41"/>
      <c r="J186" s="41"/>
      <c r="K186" s="41"/>
      <c r="L186" s="41"/>
      <c r="M186" s="41"/>
      <c r="N186" s="41"/>
      <c r="O186" s="41"/>
      <c r="P186" s="41"/>
      <c r="Q186" s="41"/>
    </row>
    <row r="187" spans="1:17">
      <c r="A187" s="39"/>
      <c r="B187" s="39"/>
      <c r="C187" s="40"/>
      <c r="D187" s="41"/>
      <c r="E187" s="41"/>
      <c r="F187" s="41"/>
      <c r="G187" s="41"/>
      <c r="H187" s="41"/>
      <c r="I187" s="41"/>
      <c r="J187" s="41"/>
      <c r="K187" s="41"/>
      <c r="L187" s="41"/>
      <c r="M187" s="41"/>
      <c r="N187" s="41"/>
      <c r="O187" s="41"/>
      <c r="P187" s="41"/>
      <c r="Q187" s="41"/>
    </row>
    <row r="188" spans="1:17">
      <c r="A188" s="42">
        <f t="shared" ref="A188" si="33">$A$96</f>
        <v>0</v>
      </c>
      <c r="B188">
        <f t="shared" ref="B188" si="34">1+B187</f>
        <v>1</v>
      </c>
    </row>
  </sheetData>
  <sheetProtection algorithmName="SHA-512" hashValue="fEtOy+A386q0f6JEyUI+w/peDunPMfDLqwPrroteJOC0Y4hqELS2imI3Kiqd6TpOt0aJ89u1wqmzTxLOyNHUYA==" saltValue="fA0z9I1FK6HOo0SJvu3J2g==" spinCount="100000" sheet="1" formatCells="0" formatColumns="0" formatRows="0" insertHyperlink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4"/>
  <sheetViews>
    <sheetView workbookViewId="0">
      <selection activeCell="R10" sqref="R10"/>
    </sheetView>
  </sheetViews>
  <sheetFormatPr defaultRowHeight="15"/>
  <cols>
    <col min="3" max="3" width="31.85546875" bestFit="1" customWidth="1"/>
    <col min="8" max="8" width="32.5703125" bestFit="1" customWidth="1"/>
  </cols>
  <sheetData>
    <row r="1" spans="1:16">
      <c r="D1" t="s">
        <v>356</v>
      </c>
      <c r="J1" t="s">
        <v>357</v>
      </c>
      <c r="O1" t="s">
        <v>358</v>
      </c>
    </row>
    <row r="2" spans="1:16">
      <c r="A2" t="s">
        <v>359</v>
      </c>
      <c r="B2" t="s">
        <v>15</v>
      </c>
      <c r="C2" t="s">
        <v>360</v>
      </c>
      <c r="D2" s="2">
        <f>'Input - Medicine Cost Proposed'!P60</f>
        <v>316480.46875</v>
      </c>
      <c r="H2" t="s">
        <v>19</v>
      </c>
      <c r="I2">
        <v>12</v>
      </c>
      <c r="J2">
        <v>1</v>
      </c>
      <c r="O2" t="s">
        <v>67</v>
      </c>
      <c r="P2" t="s">
        <v>361</v>
      </c>
    </row>
    <row r="3" spans="1:16">
      <c r="B3" t="s">
        <v>13</v>
      </c>
      <c r="C3" t="s">
        <v>362</v>
      </c>
      <c r="D3" s="2">
        <f>'Input - Medicine Cost Proposed'!Q61</f>
        <v>300615.8203125</v>
      </c>
      <c r="H3" t="s">
        <v>363</v>
      </c>
      <c r="I3">
        <v>11</v>
      </c>
      <c r="J3">
        <v>0.91666666666666663</v>
      </c>
      <c r="O3" t="s">
        <v>103</v>
      </c>
      <c r="P3" t="s">
        <v>364</v>
      </c>
    </row>
    <row r="4" spans="1:16">
      <c r="H4" t="s">
        <v>365</v>
      </c>
      <c r="I4">
        <v>10</v>
      </c>
      <c r="J4">
        <v>0.83333333333333337</v>
      </c>
      <c r="O4" t="s">
        <v>366</v>
      </c>
      <c r="P4" t="s">
        <v>367</v>
      </c>
    </row>
    <row r="5" spans="1:16">
      <c r="H5" t="s">
        <v>368</v>
      </c>
      <c r="I5">
        <v>9</v>
      </c>
      <c r="J5">
        <v>0.75</v>
      </c>
      <c r="O5" t="s">
        <v>369</v>
      </c>
      <c r="P5" t="s">
        <v>370</v>
      </c>
    </row>
    <row r="6" spans="1:16">
      <c r="A6" t="s">
        <v>371</v>
      </c>
      <c r="B6" t="s">
        <v>15</v>
      </c>
      <c r="C6" t="s">
        <v>372</v>
      </c>
      <c r="D6" s="2">
        <f>'Input - Medicine Cost Comp.'!P227</f>
        <v>203395.875</v>
      </c>
      <c r="H6" t="s">
        <v>373</v>
      </c>
      <c r="I6">
        <v>8</v>
      </c>
      <c r="J6">
        <v>0.66666666666666663</v>
      </c>
      <c r="O6" t="s">
        <v>374</v>
      </c>
      <c r="P6" t="s">
        <v>375</v>
      </c>
    </row>
    <row r="7" spans="1:16">
      <c r="B7" t="s">
        <v>13</v>
      </c>
      <c r="C7" t="s">
        <v>376</v>
      </c>
      <c r="D7" s="2">
        <f>'Input - Medicine Cost Comp.'!Q228</f>
        <v>166030.35</v>
      </c>
      <c r="H7" t="s">
        <v>377</v>
      </c>
      <c r="I7">
        <v>7</v>
      </c>
      <c r="J7">
        <v>0.58333333333333337</v>
      </c>
    </row>
    <row r="8" spans="1:16">
      <c r="H8" t="s">
        <v>378</v>
      </c>
      <c r="I8">
        <v>6</v>
      </c>
      <c r="J8">
        <v>0.5</v>
      </c>
    </row>
    <row r="9" spans="1:16">
      <c r="H9" t="s">
        <v>379</v>
      </c>
      <c r="I9">
        <v>5</v>
      </c>
      <c r="J9">
        <v>0.41666666666666669</v>
      </c>
    </row>
    <row r="10" spans="1:16">
      <c r="A10" t="s">
        <v>13</v>
      </c>
      <c r="C10" t="s">
        <v>11</v>
      </c>
      <c r="D10">
        <v>1</v>
      </c>
      <c r="H10" t="s">
        <v>380</v>
      </c>
      <c r="I10">
        <v>4</v>
      </c>
      <c r="J10">
        <v>0.33333333333333331</v>
      </c>
    </row>
    <row r="11" spans="1:16">
      <c r="A11" t="s">
        <v>15</v>
      </c>
      <c r="C11" t="s">
        <v>342</v>
      </c>
      <c r="D11">
        <v>6.7081520641738709E-2</v>
      </c>
      <c r="H11" t="s">
        <v>381</v>
      </c>
      <c r="I11">
        <v>3</v>
      </c>
      <c r="J11">
        <v>0.25</v>
      </c>
    </row>
    <row r="12" spans="1:16">
      <c r="C12" t="s">
        <v>343</v>
      </c>
      <c r="D12">
        <v>2.144391210969767E-2</v>
      </c>
      <c r="H12" t="s">
        <v>382</v>
      </c>
      <c r="I12">
        <v>2</v>
      </c>
      <c r="J12">
        <v>0.16666666666666666</v>
      </c>
    </row>
    <row r="13" spans="1:16">
      <c r="C13" t="s">
        <v>344</v>
      </c>
      <c r="D13">
        <v>2.6758081392147144E-2</v>
      </c>
      <c r="H13" t="s">
        <v>383</v>
      </c>
      <c r="I13">
        <v>1</v>
      </c>
      <c r="J13">
        <v>8.3333333333333329E-2</v>
      </c>
    </row>
    <row r="14" spans="1:16">
      <c r="C14" t="s">
        <v>345</v>
      </c>
      <c r="D14">
        <v>6.8164546505864856E-2</v>
      </c>
    </row>
    <row r="15" spans="1:16">
      <c r="C15" t="s">
        <v>346</v>
      </c>
      <c r="D15">
        <v>5.557024065201828E-2</v>
      </c>
    </row>
    <row r="16" spans="1:16">
      <c r="C16" t="s">
        <v>347</v>
      </c>
      <c r="D16">
        <v>0.10687446078161426</v>
      </c>
    </row>
    <row r="17" spans="3:4">
      <c r="C17" t="s">
        <v>348</v>
      </c>
      <c r="D17">
        <v>0.21658865209170844</v>
      </c>
    </row>
    <row r="18" spans="3:4">
      <c r="C18" t="s">
        <v>349</v>
      </c>
      <c r="D18">
        <v>5.9406722102905811E-2</v>
      </c>
    </row>
    <row r="19" spans="3:4">
      <c r="C19" t="s">
        <v>350</v>
      </c>
      <c r="D19">
        <v>0.12268663839785597</v>
      </c>
    </row>
    <row r="20" spans="3:4">
      <c r="C20" t="s">
        <v>351</v>
      </c>
      <c r="D20">
        <v>0.16634359454448666</v>
      </c>
    </row>
    <row r="21" spans="3:4">
      <c r="C21" t="s">
        <v>352</v>
      </c>
      <c r="D21">
        <v>4.0420728013657141E-3</v>
      </c>
    </row>
    <row r="22" spans="3:4">
      <c r="C22" t="s">
        <v>353</v>
      </c>
      <c r="D22">
        <v>4.2256365071498062E-3</v>
      </c>
    </row>
    <row r="23" spans="3:4">
      <c r="C23" t="s">
        <v>354</v>
      </c>
      <c r="D23">
        <v>7.6019237476366172E-2</v>
      </c>
    </row>
    <row r="24" spans="3:4">
      <c r="C24" t="s">
        <v>355</v>
      </c>
      <c r="D24">
        <v>4.7946839950804929E-3</v>
      </c>
    </row>
  </sheetData>
  <sheetProtection formatCell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A2D2634FE7FB49B228EB7361B0310C" ma:contentTypeVersion="6" ma:contentTypeDescription="Create a new document." ma:contentTypeScope="" ma:versionID="354db4d2de30502b8cc722edcb98f300">
  <xsd:schema xmlns:xsd="http://www.w3.org/2001/XMLSchema" xmlns:xs="http://www.w3.org/2001/XMLSchema" xmlns:p="http://schemas.microsoft.com/office/2006/metadata/properties" xmlns:ns2="415e72ba-d9a0-4dd2-8969-3480b551d777" targetNamespace="http://schemas.microsoft.com/office/2006/metadata/properties" ma:root="true" ma:fieldsID="148620eb02e5bd05e1d30ab7012fb490" ns2:_="">
    <xsd:import namespace="415e72ba-d9a0-4dd2-8969-3480b551d7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5e72ba-d9a0-4dd2-8969-3480b551d7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28272A-FCB9-4460-95E3-2CC5DD79F8E1}"/>
</file>

<file path=customXml/itemProps2.xml><?xml version="1.0" encoding="utf-8"?>
<ds:datastoreItem xmlns:ds="http://schemas.openxmlformats.org/officeDocument/2006/customXml" ds:itemID="{80C517CC-122B-42FC-8970-113A66E742BE}"/>
</file>

<file path=customXml/itemProps3.xml><?xml version="1.0" encoding="utf-8"?>
<ds:datastoreItem xmlns:ds="http://schemas.openxmlformats.org/officeDocument/2006/customXml" ds:itemID="{F029B42B-4FA3-4C7F-A1D1-536E78C7A36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2024-11-06T13:42:16Z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0x01010080A2D2634FE7FB49B228EB7361B0310C</vt:lpwstr>
  </property>
</Properties>
</file>